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 activeTab="5"/>
  </bookViews>
  <sheets>
    <sheet name="FRE" sheetId="2" r:id="rId1"/>
    <sheet name="REGRESSION" sheetId="1" r:id="rId2"/>
    <sheet name="LOAN AND LEASE" sheetId="3" r:id="rId3"/>
    <sheet name="PAYROLL" sheetId="4" r:id="rId4"/>
    <sheet name="dep" sheetId="5" r:id="rId5"/>
    <sheet name="NPV" sheetId="6" r:id="rId6"/>
  </sheets>
  <calcPr calcId="144525"/>
</workbook>
</file>

<file path=xl/calcChain.xml><?xml version="1.0" encoding="utf-8"?>
<calcChain xmlns="http://schemas.openxmlformats.org/spreadsheetml/2006/main">
  <c r="B38" i="2" l="1"/>
  <c r="B36" i="2"/>
  <c r="F42" i="3" l="1"/>
  <c r="F41" i="3"/>
  <c r="B13" i="2" l="1"/>
  <c r="B11" i="2"/>
  <c r="B15" i="2"/>
  <c r="B14" i="2"/>
  <c r="B10" i="2"/>
  <c r="E34" i="2"/>
  <c r="E33" i="2"/>
  <c r="E31" i="2"/>
  <c r="E32" i="2"/>
  <c r="E30" i="2"/>
  <c r="G27" i="2"/>
  <c r="F27" i="2"/>
  <c r="G22" i="2"/>
  <c r="G23" i="2"/>
  <c r="G24" i="2"/>
  <c r="G25" i="2"/>
  <c r="G21" i="2"/>
  <c r="F22" i="2"/>
  <c r="F23" i="2"/>
  <c r="F24" i="2"/>
  <c r="F25" i="2"/>
  <c r="F21" i="2"/>
  <c r="D27" i="2"/>
  <c r="D21" i="2" a="1"/>
  <c r="D21" i="2" s="1"/>
  <c r="E22" i="2"/>
  <c r="E23" i="2"/>
  <c r="E24" i="2"/>
  <c r="E25" i="2"/>
  <c r="E21" i="2"/>
  <c r="B7" i="2"/>
  <c r="B8" i="2"/>
  <c r="B9" i="2"/>
  <c r="B12" i="2"/>
  <c r="C7" i="2"/>
  <c r="C8" i="2"/>
  <c r="C9" i="2"/>
  <c r="C10" i="2"/>
  <c r="C11" i="2"/>
  <c r="C12" i="2"/>
  <c r="C13" i="2"/>
  <c r="C14" i="2"/>
  <c r="C15" i="2"/>
  <c r="D7" i="2"/>
  <c r="D8" i="2"/>
  <c r="D9" i="2"/>
  <c r="D10" i="2"/>
  <c r="D11" i="2"/>
  <c r="D12" i="2"/>
  <c r="D13" i="2"/>
  <c r="D14" i="2"/>
  <c r="D15" i="2"/>
  <c r="E7" i="2"/>
  <c r="E8" i="2"/>
  <c r="E9" i="2"/>
  <c r="E10" i="2"/>
  <c r="E11" i="2"/>
  <c r="E12" i="2"/>
  <c r="E13" i="2"/>
  <c r="E14" i="2"/>
  <c r="E15" i="2"/>
  <c r="B6" i="2"/>
  <c r="C6" i="2"/>
  <c r="D6" i="2"/>
  <c r="E6" i="2"/>
  <c r="A7" i="2"/>
  <c r="A8" i="2"/>
  <c r="A9" i="2"/>
  <c r="A10" i="2"/>
  <c r="A11" i="2"/>
  <c r="A12" i="2"/>
  <c r="A13" i="2"/>
  <c r="A14" i="2"/>
  <c r="A15" i="2"/>
  <c r="A6" i="2"/>
  <c r="D23" i="2" l="1"/>
  <c r="D24" i="2"/>
  <c r="D22" i="2"/>
  <c r="D25" i="2"/>
  <c r="C31" i="6" l="1"/>
  <c r="D31" i="6"/>
  <c r="E31" i="6"/>
  <c r="F31" i="6"/>
  <c r="B31" i="6"/>
  <c r="B26" i="6"/>
  <c r="A26" i="6"/>
  <c r="F16" i="6"/>
  <c r="E16" i="6"/>
  <c r="B17" i="6"/>
  <c r="A17" i="6"/>
  <c r="A17" i="5" l="1"/>
  <c r="C16" i="5"/>
  <c r="D16" i="5" s="1"/>
  <c r="B17" i="5" s="1"/>
  <c r="B16" i="5"/>
  <c r="A18" i="5" l="1"/>
  <c r="C17" i="5"/>
  <c r="D17" i="5"/>
  <c r="B18" i="5" s="1"/>
  <c r="A35" i="3"/>
  <c r="B31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E13" i="3"/>
  <c r="B14" i="3" s="1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C13" i="3"/>
  <c r="C12" i="3"/>
  <c r="B12" i="3"/>
  <c r="A13" i="3"/>
  <c r="B8" i="3"/>
  <c r="D12" i="3" s="1"/>
  <c r="E12" i="3" s="1"/>
  <c r="B13" i="3" s="1"/>
  <c r="A19" i="5" l="1"/>
  <c r="C18" i="5"/>
  <c r="D18" i="5" s="1"/>
  <c r="B19" i="5" s="1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C14" i="3"/>
  <c r="E14" i="3" s="1"/>
  <c r="B15" i="3" s="1"/>
  <c r="G8" i="1"/>
  <c r="G7" i="1"/>
  <c r="C8" i="1" s="1"/>
  <c r="L7" i="1"/>
  <c r="L8" i="1"/>
  <c r="L9" i="1"/>
  <c r="L10" i="1"/>
  <c r="L11" i="1"/>
  <c r="L12" i="1"/>
  <c r="L13" i="1"/>
  <c r="L14" i="1"/>
  <c r="L15" i="1"/>
  <c r="L6" i="1"/>
  <c r="K15" i="1"/>
  <c r="K7" i="1"/>
  <c r="K8" i="1"/>
  <c r="K9" i="1"/>
  <c r="K10" i="1"/>
  <c r="K11" i="1"/>
  <c r="K12" i="1"/>
  <c r="K13" i="1"/>
  <c r="K14" i="1"/>
  <c r="K6" i="1"/>
  <c r="A20" i="5" l="1"/>
  <c r="C19" i="5"/>
  <c r="D19" i="5" s="1"/>
  <c r="B20" i="5" s="1"/>
  <c r="C15" i="3"/>
  <c r="E15" i="3" s="1"/>
  <c r="B16" i="3" s="1"/>
  <c r="C9" i="1"/>
  <c r="C7" i="1"/>
  <c r="C16" i="1"/>
  <c r="C12" i="1"/>
  <c r="C20" i="1"/>
  <c r="C15" i="1"/>
  <c r="C11" i="1"/>
  <c r="C19" i="1"/>
  <c r="C14" i="1"/>
  <c r="C10" i="1"/>
  <c r="C18" i="1"/>
  <c r="C13" i="1"/>
  <c r="I7" i="4"/>
  <c r="I8" i="4"/>
  <c r="I9" i="4"/>
  <c r="I10" i="4"/>
  <c r="I11" i="4"/>
  <c r="I12" i="4"/>
  <c r="I13" i="4"/>
  <c r="I14" i="4"/>
  <c r="I15" i="4"/>
  <c r="I6" i="4"/>
  <c r="H7" i="4"/>
  <c r="H8" i="4"/>
  <c r="H9" i="4"/>
  <c r="H10" i="4"/>
  <c r="H11" i="4"/>
  <c r="H12" i="4"/>
  <c r="H13" i="4"/>
  <c r="H14" i="4"/>
  <c r="H15" i="4"/>
  <c r="H6" i="4"/>
  <c r="G7" i="4"/>
  <c r="G8" i="4"/>
  <c r="G9" i="4"/>
  <c r="G10" i="4"/>
  <c r="G11" i="4"/>
  <c r="G12" i="4"/>
  <c r="G13" i="4"/>
  <c r="G14" i="4"/>
  <c r="G15" i="4"/>
  <c r="G6" i="4"/>
  <c r="F7" i="4"/>
  <c r="F8" i="4"/>
  <c r="F9" i="4"/>
  <c r="F10" i="4"/>
  <c r="F11" i="4"/>
  <c r="F12" i="4"/>
  <c r="F13" i="4"/>
  <c r="F14" i="4"/>
  <c r="F15" i="4"/>
  <c r="F6" i="4"/>
  <c r="E7" i="4"/>
  <c r="E8" i="4"/>
  <c r="E9" i="4"/>
  <c r="E10" i="4"/>
  <c r="E11" i="4"/>
  <c r="E12" i="4"/>
  <c r="E13" i="4"/>
  <c r="E14" i="4"/>
  <c r="E15" i="4"/>
  <c r="E6" i="4"/>
  <c r="D7" i="4"/>
  <c r="D8" i="4"/>
  <c r="D9" i="4"/>
  <c r="D10" i="4"/>
  <c r="D11" i="4"/>
  <c r="D12" i="4"/>
  <c r="D13" i="4"/>
  <c r="D14" i="4"/>
  <c r="D15" i="4"/>
  <c r="D6" i="4"/>
  <c r="A21" i="5" l="1"/>
  <c r="C20" i="5"/>
  <c r="D20" i="5" s="1"/>
  <c r="C16" i="3"/>
  <c r="E16" i="3" s="1"/>
  <c r="B17" i="3" s="1"/>
  <c r="C17" i="3" l="1"/>
  <c r="E17" i="3" s="1"/>
  <c r="B18" i="3" s="1"/>
  <c r="C18" i="3" l="1"/>
  <c r="E18" i="3" s="1"/>
  <c r="B19" i="3" s="1"/>
  <c r="C19" i="3" l="1"/>
  <c r="E19" i="3" s="1"/>
  <c r="B20" i="3" s="1"/>
  <c r="C20" i="3" l="1"/>
  <c r="E20" i="3" s="1"/>
  <c r="B21" i="3" s="1"/>
  <c r="C21" i="3" l="1"/>
  <c r="E21" i="3" s="1"/>
  <c r="B22" i="3" s="1"/>
  <c r="C22" i="3" l="1"/>
  <c r="E22" i="3" s="1"/>
  <c r="B23" i="3" s="1"/>
  <c r="C23" i="3" l="1"/>
  <c r="E23" i="3" s="1"/>
  <c r="B24" i="3" s="1"/>
  <c r="C24" i="3" l="1"/>
  <c r="E24" i="3" s="1"/>
  <c r="B25" i="3" s="1"/>
  <c r="C25" i="3" l="1"/>
  <c r="E25" i="3" s="1"/>
  <c r="B26" i="3" s="1"/>
  <c r="C26" i="3" l="1"/>
  <c r="E26" i="3" s="1"/>
  <c r="B27" i="3" s="1"/>
  <c r="C27" i="3" l="1"/>
  <c r="E27" i="3" s="1"/>
  <c r="B28" i="3" s="1"/>
  <c r="C28" i="3" l="1"/>
  <c r="E28" i="3" s="1"/>
  <c r="B29" i="3" s="1"/>
  <c r="C29" i="3" l="1"/>
  <c r="E29" i="3" s="1"/>
  <c r="B30" i="3" s="1"/>
  <c r="C30" i="3" l="1"/>
  <c r="E30" i="3" s="1"/>
  <c r="C31" i="3" l="1"/>
  <c r="E31" i="3" s="1"/>
  <c r="B32" i="3" s="1"/>
  <c r="C32" i="3" l="1"/>
  <c r="E32" i="3" s="1"/>
  <c r="B33" i="3" s="1"/>
  <c r="C33" i="3" l="1"/>
  <c r="E33" i="3" s="1"/>
  <c r="B34" i="3" s="1"/>
  <c r="C34" i="3" l="1"/>
  <c r="E34" i="3" s="1"/>
  <c r="B35" i="3" s="1"/>
  <c r="C35" i="3" l="1"/>
  <c r="E35" i="3" s="1"/>
  <c r="C21" i="5"/>
  <c r="D21" i="5" s="1"/>
  <c r="B21" i="5"/>
</calcChain>
</file>

<file path=xl/sharedStrings.xml><?xml version="1.0" encoding="utf-8"?>
<sst xmlns="http://schemas.openxmlformats.org/spreadsheetml/2006/main" count="169" uniqueCount="149">
  <si>
    <t>QUESTION NO 4</t>
  </si>
  <si>
    <t>NAME</t>
  </si>
  <si>
    <t>CATEGORY</t>
  </si>
  <si>
    <t>BASIC SALARY</t>
  </si>
  <si>
    <t>DA</t>
  </si>
  <si>
    <t>HRA</t>
  </si>
  <si>
    <t>GROSS SALARY</t>
  </si>
  <si>
    <t xml:space="preserve">   PF</t>
  </si>
  <si>
    <t>INCOME TAX</t>
  </si>
  <si>
    <t>NET SALARY</t>
  </si>
  <si>
    <t>AARTI</t>
  </si>
  <si>
    <t>MAHIMA</t>
  </si>
  <si>
    <t>RAGINI</t>
  </si>
  <si>
    <t>NIMRAH</t>
  </si>
  <si>
    <t>ABDULLAH</t>
  </si>
  <si>
    <t>ELEENA</t>
  </si>
  <si>
    <t>SAHER</t>
  </si>
  <si>
    <t>SHRUTI</t>
  </si>
  <si>
    <t>SMRITI</t>
  </si>
  <si>
    <t>MARIYAM</t>
  </si>
  <si>
    <t>A</t>
  </si>
  <si>
    <t>B</t>
  </si>
  <si>
    <t xml:space="preserve">C </t>
  </si>
  <si>
    <t>C</t>
  </si>
  <si>
    <t>QUESTION 1</t>
  </si>
  <si>
    <t>Given,X=a+b*Y</t>
  </si>
  <si>
    <t>RANDOM NUMBERS</t>
  </si>
  <si>
    <t>Y</t>
  </si>
  <si>
    <t>X</t>
  </si>
  <si>
    <t>Y(INDEPENDENT)</t>
  </si>
  <si>
    <t>X(DEPENDENT)</t>
  </si>
  <si>
    <t>ESTIMATED VALUE OF X</t>
  </si>
  <si>
    <t>INTERCEPT</t>
  </si>
  <si>
    <t>SLOPE</t>
  </si>
  <si>
    <t>QUESTION 3</t>
  </si>
  <si>
    <t>AMOUNT OF LOAN</t>
  </si>
  <si>
    <t>RATE OF INTREST</t>
  </si>
  <si>
    <t>PERIOD OF REPAYMENT</t>
  </si>
  <si>
    <t>PERIODICITY</t>
  </si>
  <si>
    <t>QUARTERLY</t>
  </si>
  <si>
    <t>INSTALMENT AMOUNT</t>
  </si>
  <si>
    <t>Bi MONTHLY</t>
  </si>
  <si>
    <t>HALF YEARLY</t>
  </si>
  <si>
    <t>MONTHLY</t>
  </si>
  <si>
    <t>YEARLY</t>
  </si>
  <si>
    <t>PERIOD</t>
  </si>
  <si>
    <t>OPENING BAL.</t>
  </si>
  <si>
    <t>INTEREST DUE</t>
  </si>
  <si>
    <t>INSTALMENT</t>
  </si>
  <si>
    <t>CLOSING BAL.</t>
  </si>
  <si>
    <t>QUESTION 5</t>
  </si>
  <si>
    <t>COST of Plant and M/c</t>
  </si>
  <si>
    <t>SALVAGE Value</t>
  </si>
  <si>
    <t>LIFE of Plant and M/c (1-40 years)</t>
  </si>
  <si>
    <t>MONTHs in the first year1- 2)</t>
  </si>
  <si>
    <t>METHODS</t>
  </si>
  <si>
    <t>SLN</t>
  </si>
  <si>
    <t>DB</t>
  </si>
  <si>
    <t>MONTHS IN A YEAR</t>
  </si>
  <si>
    <t>Method of Depreciation</t>
  </si>
  <si>
    <t>FIXED ASSET ACCOUNT</t>
  </si>
  <si>
    <t>YEAR</t>
  </si>
  <si>
    <t>OPENING BALANCE</t>
  </si>
  <si>
    <t>DEPRECIATION</t>
  </si>
  <si>
    <t>CLOSING BALANCE</t>
  </si>
  <si>
    <t>PROJECTS</t>
  </si>
  <si>
    <t>RATE</t>
  </si>
  <si>
    <t>INITIAL INVESTMENT</t>
  </si>
  <si>
    <t>EXPECTED CASH FLOWS AT THE END OF YEAR 1</t>
  </si>
  <si>
    <t>NPV</t>
  </si>
  <si>
    <t>IRR</t>
  </si>
  <si>
    <t>PROJECT TO BE IMPLEMENTED</t>
  </si>
  <si>
    <t>B) CALCULATE VARIOUS NPVs AT 11%,12%,13%,14%,AND 15%</t>
  </si>
  <si>
    <t>RATES</t>
  </si>
  <si>
    <t>QUESTION 2</t>
  </si>
  <si>
    <t>FREEZED NUMBERS</t>
  </si>
  <si>
    <t>CLASS INTERVL</t>
  </si>
  <si>
    <t>LOWER LIMIT</t>
  </si>
  <si>
    <t>UPPER LIMIT</t>
  </si>
  <si>
    <t>BIN</t>
  </si>
  <si>
    <t>TOTAL</t>
  </si>
  <si>
    <t>MID VALUE(X)</t>
  </si>
  <si>
    <t>FREQUENCY(F)</t>
  </si>
  <si>
    <t>F.X</t>
  </si>
  <si>
    <t>FX.X</t>
  </si>
  <si>
    <t>1 MEAN</t>
  </si>
  <si>
    <t>2 STANDARD DEVIATION</t>
  </si>
  <si>
    <t>3SKEWNESS</t>
  </si>
  <si>
    <t>4KURTOSIS</t>
  </si>
  <si>
    <t xml:space="preserve"> </t>
  </si>
  <si>
    <t>VALUES MORE THAN 560</t>
  </si>
  <si>
    <t>By copying the random numbers</t>
  </si>
  <si>
    <t>and using paste as value,freezed nos.</t>
  </si>
  <si>
    <t>comeup.</t>
  </si>
  <si>
    <t>(50 integers).</t>
  </si>
  <si>
    <t>Draw a table,put the given data class.</t>
  </si>
  <si>
    <t xml:space="preserve">find the other required date like F.FX.X for mean and </t>
  </si>
  <si>
    <t>standard deviation.</t>
  </si>
  <si>
    <t xml:space="preserve">random number is found by </t>
  </si>
  <si>
    <t>using the formula of randbetween</t>
  </si>
  <si>
    <t>put the value of</t>
  </si>
  <si>
    <t xml:space="preserve"> X through randbetween300,400</t>
  </si>
  <si>
    <t>y through between 60,100</t>
  </si>
  <si>
    <t xml:space="preserve">freez the value of X and Y </t>
  </si>
  <si>
    <t>Assume any three different values of y and find the values by dragging</t>
  </si>
  <si>
    <t>the estimate X</t>
  </si>
  <si>
    <t>Find the values of estimate X by using</t>
  </si>
  <si>
    <t>the formula X=a+by</t>
  </si>
  <si>
    <t>Write the given data</t>
  </si>
  <si>
    <t>Make the tabel od period,opening balance,intrest due,</t>
  </si>
  <si>
    <t>instalment , closing balance</t>
  </si>
  <si>
    <t xml:space="preserve">TO see how intrest due comes up, place the cursor </t>
  </si>
  <si>
    <t xml:space="preserve">on the cell of intrest due column and then look at </t>
  </si>
  <si>
    <t>the formula bar.</t>
  </si>
  <si>
    <t>T</t>
  </si>
  <si>
    <t>Total amount of intrest for instalment no.5 to 10</t>
  </si>
  <si>
    <t>Total amount of principal for instalment no 5 to 10</t>
  </si>
  <si>
    <t>STANDARD DEVIATION</t>
  </si>
  <si>
    <t>MEAN</t>
  </si>
  <si>
    <t>CONTINOUS SERIES</t>
  </si>
  <si>
    <t xml:space="preserve">Using formula (refer formula bar) got the </t>
  </si>
  <si>
    <t>standard deviation and mean</t>
  </si>
  <si>
    <t>GRAPH</t>
  </si>
  <si>
    <t>Make a list of 10 employees</t>
  </si>
  <si>
    <t xml:space="preserve">makethe tabel containing particulars given in the </t>
  </si>
  <si>
    <t>question</t>
  </si>
  <si>
    <t>assuming the name and basic salary of the employess by your name</t>
  </si>
  <si>
    <t>Find the DA HRS GROSS SALARY PF INCOME TAX NET SALARY by following</t>
  </si>
  <si>
    <t>the question given in the question.</t>
  </si>
  <si>
    <t>Type down the given information</t>
  </si>
  <si>
    <t>make the table given in the question</t>
  </si>
  <si>
    <t>put the value of the opening balance in the first year as same as the cost</t>
  </si>
  <si>
    <t>Find the value of the depreciation by SLN method</t>
  </si>
  <si>
    <t>Find the value of closing balance by deducting depreciation from the opening balance</t>
  </si>
  <si>
    <t xml:space="preserve">                data validation has been used</t>
  </si>
  <si>
    <t xml:space="preserve">by going to data validation option and then selection of </t>
  </si>
  <si>
    <t>list and source(cell reference of sln) has been done.</t>
  </si>
  <si>
    <t xml:space="preserve"> of sln and 12(months)).</t>
  </si>
  <si>
    <t xml:space="preserve">                      writedown the given information</t>
  </si>
  <si>
    <t xml:space="preserve">                        in tabular form</t>
  </si>
  <si>
    <t>Find the NPV of projects A and B.</t>
  </si>
  <si>
    <t>Refer formula bar for the knowledge of</t>
  </si>
  <si>
    <t>formula(by placing the cursor on the answers.</t>
  </si>
  <si>
    <t xml:space="preserve">Find the value of NPV of both the projects </t>
  </si>
  <si>
    <t>at 5 different days.</t>
  </si>
  <si>
    <t>QUESTION 6</t>
  </si>
  <si>
    <t>Find the IIR of both the projects</t>
  </si>
  <si>
    <t xml:space="preserve">Refer formula bar for the knowledge of </t>
  </si>
  <si>
    <t>formula(by placing the cursor on the anwer)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</si>
</sst>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₹&quot;\ #,##0;[Red]&quot;₹&quot;\ \-#,##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sz val="11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2" borderId="0" xfId="0" applyFont="1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3" xfId="0" applyFill="1" applyBorder="1"/>
    <xf numFmtId="0" fontId="2" fillId="6" borderId="1" xfId="0" applyFont="1" applyFill="1" applyBorder="1"/>
    <xf numFmtId="0" fontId="2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7" borderId="4" xfId="0" applyFill="1" applyBorder="1"/>
    <xf numFmtId="0" fontId="0" fillId="7" borderId="0" xfId="0" applyFill="1" applyBorder="1"/>
    <xf numFmtId="0" fontId="0" fillId="7" borderId="5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6" borderId="1" xfId="0" applyFill="1" applyBorder="1"/>
    <xf numFmtId="0" fontId="0" fillId="8" borderId="0" xfId="0" applyFill="1"/>
    <xf numFmtId="0" fontId="0" fillId="3" borderId="1" xfId="0" applyFill="1" applyBorder="1"/>
    <xf numFmtId="0" fontId="0" fillId="3" borderId="2" xfId="0" applyFill="1" applyBorder="1"/>
    <xf numFmtId="9" fontId="0" fillId="0" borderId="0" xfId="0" applyNumberFormat="1" applyBorder="1"/>
    <xf numFmtId="0" fontId="0" fillId="9" borderId="1" xfId="0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5" xfId="0" applyFill="1" applyBorder="1"/>
    <xf numFmtId="0" fontId="0" fillId="9" borderId="6" xfId="0" applyFill="1" applyBorder="1"/>
    <xf numFmtId="6" fontId="0" fillId="9" borderId="7" xfId="0" applyNumberFormat="1" applyFill="1" applyBorder="1"/>
    <xf numFmtId="0" fontId="0" fillId="9" borderId="8" xfId="0" applyFill="1" applyBorder="1"/>
    <xf numFmtId="0" fontId="0" fillId="10" borderId="1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8" xfId="0" applyFill="1" applyBorder="1"/>
    <xf numFmtId="0" fontId="0" fillId="0" borderId="0" xfId="0" applyFill="1"/>
    <xf numFmtId="6" fontId="0" fillId="0" borderId="0" xfId="0" applyNumberFormat="1" applyBorder="1"/>
    <xf numFmtId="1" fontId="0" fillId="0" borderId="5" xfId="0" applyNumberFormat="1" applyBorder="1"/>
    <xf numFmtId="1" fontId="0" fillId="9" borderId="0" xfId="0" applyNumberFormat="1" applyFill="1" applyBorder="1"/>
    <xf numFmtId="6" fontId="0" fillId="9" borderId="0" xfId="0" applyNumberFormat="1" applyFill="1" applyBorder="1"/>
    <xf numFmtId="1" fontId="0" fillId="9" borderId="5" xfId="0" applyNumberFormat="1" applyFill="1" applyBorder="1"/>
    <xf numFmtId="0" fontId="0" fillId="0" borderId="4" xfId="0" applyFill="1" applyBorder="1"/>
    <xf numFmtId="1" fontId="0" fillId="0" borderId="0" xfId="0" applyNumberFormat="1" applyBorder="1"/>
    <xf numFmtId="1" fontId="0" fillId="9" borderId="7" xfId="0" applyNumberFormat="1" applyFill="1" applyBorder="1"/>
    <xf numFmtId="0" fontId="0" fillId="9" borderId="7" xfId="0" applyFill="1" applyBorder="1"/>
    <xf numFmtId="1" fontId="0" fillId="9" borderId="8" xfId="0" applyNumberFormat="1" applyFill="1" applyBorder="1"/>
    <xf numFmtId="0" fontId="1" fillId="0" borderId="0" xfId="0" applyFont="1" applyFill="1"/>
    <xf numFmtId="0" fontId="4" fillId="0" borderId="0" xfId="0" applyFont="1"/>
    <xf numFmtId="4" fontId="0" fillId="0" borderId="5" xfId="0" applyNumberFormat="1" applyBorder="1"/>
    <xf numFmtId="0" fontId="0" fillId="11" borderId="1" xfId="0" applyFill="1" applyBorder="1"/>
    <xf numFmtId="4" fontId="0" fillId="11" borderId="3" xfId="0" applyNumberForma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8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9" fontId="0" fillId="0" borderId="5" xfId="0" applyNumberFormat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14" borderId="0" xfId="0" applyFill="1"/>
    <xf numFmtId="0" fontId="0" fillId="12" borderId="1" xfId="0" applyFill="1" applyBorder="1"/>
    <xf numFmtId="0" fontId="0" fillId="12" borderId="3" xfId="0" applyFill="1" applyBorder="1"/>
    <xf numFmtId="0" fontId="0" fillId="13" borderId="6" xfId="0" applyFill="1" applyBorder="1"/>
    <xf numFmtId="0" fontId="0" fillId="13" borderId="8" xfId="0" applyFill="1" applyBorder="1"/>
    <xf numFmtId="9" fontId="0" fillId="6" borderId="2" xfId="0" applyNumberFormat="1" applyFill="1" applyBorder="1"/>
    <xf numFmtId="9" fontId="0" fillId="6" borderId="3" xfId="0" applyNumberFormat="1" applyFill="1" applyBorder="1"/>
    <xf numFmtId="40" fontId="0" fillId="11" borderId="7" xfId="0" applyNumberFormat="1" applyFill="1" applyBorder="1"/>
    <xf numFmtId="0" fontId="0" fillId="11" borderId="7" xfId="0" applyFill="1" applyBorder="1"/>
    <xf numFmtId="0" fontId="2" fillId="0" borderId="0" xfId="0" applyFont="1"/>
    <xf numFmtId="4" fontId="0" fillId="0" borderId="0" xfId="0" applyNumberFormat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15" borderId="1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5" borderId="5" xfId="0" applyFill="1" applyBorder="1"/>
    <xf numFmtId="0" fontId="0" fillId="15" borderId="6" xfId="0" applyFill="1" applyBorder="1"/>
    <xf numFmtId="0" fontId="0" fillId="15" borderId="8" xfId="0" applyFill="1" applyBorder="1"/>
    <xf numFmtId="9" fontId="0" fillId="0" borderId="6" xfId="0" applyNumberFormat="1" applyBorder="1"/>
    <xf numFmtId="9" fontId="0" fillId="0" borderId="8" xfId="0" applyNumberFormat="1" applyBorder="1"/>
    <xf numFmtId="0" fontId="2" fillId="10" borderId="1" xfId="0" applyFont="1" applyFill="1" applyBorder="1"/>
    <xf numFmtId="2" fontId="0" fillId="10" borderId="6" xfId="0" applyNumberFormat="1" applyFill="1" applyBorder="1"/>
    <xf numFmtId="2" fontId="0" fillId="10" borderId="8" xfId="0" applyNumberFormat="1" applyFill="1" applyBorder="1"/>
    <xf numFmtId="0" fontId="0" fillId="11" borderId="3" xfId="0" applyFill="1" applyBorder="1"/>
    <xf numFmtId="0" fontId="2" fillId="11" borderId="1" xfId="0" applyFont="1" applyFill="1" applyBorder="1"/>
    <xf numFmtId="0" fontId="0" fillId="2" borderId="7" xfId="0" applyFill="1" applyBorder="1"/>
    <xf numFmtId="0" fontId="0" fillId="16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16" borderId="8" xfId="0" applyFill="1" applyBorder="1"/>
    <xf numFmtId="0" fontId="0" fillId="13" borderId="1" xfId="0" applyFill="1" applyBorder="1"/>
    <xf numFmtId="0" fontId="0" fillId="13" borderId="2" xfId="0" applyFill="1" applyBorder="1"/>
    <xf numFmtId="0" fontId="0" fillId="13" borderId="3" xfId="0" applyFill="1" applyBorder="1"/>
    <xf numFmtId="0" fontId="0" fillId="13" borderId="7" xfId="0" applyFill="1" applyBorder="1"/>
    <xf numFmtId="0" fontId="0" fillId="13" borderId="0" xfId="0" applyFill="1" applyBorder="1"/>
    <xf numFmtId="0" fontId="0" fillId="13" borderId="5" xfId="0" applyFill="1" applyBorder="1"/>
    <xf numFmtId="0" fontId="1" fillId="16" borderId="0" xfId="0" applyFont="1" applyFill="1" applyBorder="1"/>
    <xf numFmtId="0" fontId="1" fillId="16" borderId="5" xfId="0" applyFont="1" applyFill="1" applyBorder="1"/>
    <xf numFmtId="0" fontId="2" fillId="17" borderId="9" xfId="0" applyFont="1" applyFill="1" applyBorder="1"/>
    <xf numFmtId="0" fontId="0" fillId="17" borderId="10" xfId="0" applyFill="1" applyBorder="1"/>
    <xf numFmtId="0" fontId="0" fillId="17" borderId="11" xfId="0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4" fillId="4" borderId="0" xfId="0" applyFont="1" applyFill="1" applyBorder="1"/>
    <xf numFmtId="0" fontId="4" fillId="4" borderId="5" xfId="0" applyFont="1" applyFill="1" applyBorder="1"/>
    <xf numFmtId="0" fontId="0" fillId="8" borderId="0" xfId="0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1" xfId="0" applyFill="1" applyBorder="1"/>
    <xf numFmtId="0" fontId="0" fillId="7" borderId="2" xfId="0" applyFill="1" applyBorder="1"/>
    <xf numFmtId="0" fontId="0" fillId="16" borderId="4" xfId="0" applyFill="1" applyBorder="1"/>
    <xf numFmtId="0" fontId="0" fillId="16" borderId="6" xfId="0" applyFill="1" applyBorder="1"/>
    <xf numFmtId="0" fontId="2" fillId="16" borderId="1" xfId="0" applyFont="1" applyFill="1" applyBorder="1"/>
    <xf numFmtId="0" fontId="0" fillId="7" borderId="3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2" borderId="0" xfId="0" applyFill="1"/>
    <xf numFmtId="0" fontId="0" fillId="10" borderId="2" xfId="0" applyFill="1" applyBorder="1"/>
    <xf numFmtId="0" fontId="0" fillId="10" borderId="0" xfId="0" applyFill="1" applyBorder="1"/>
    <xf numFmtId="0" fontId="0" fillId="10" borderId="7" xfId="0" applyFill="1" applyBorder="1"/>
    <xf numFmtId="1" fontId="0" fillId="0" borderId="0" xfId="0" applyNumberFormat="1"/>
    <xf numFmtId="0" fontId="0" fillId="18" borderId="0" xfId="0" applyFill="1"/>
    <xf numFmtId="0" fontId="5" fillId="2" borderId="0" xfId="0" applyFont="1" applyFill="1"/>
    <xf numFmtId="0" fontId="0" fillId="15" borderId="2" xfId="0" applyFill="1" applyBorder="1"/>
    <xf numFmtId="0" fontId="0" fillId="15" borderId="0" xfId="0" applyFill="1" applyBorder="1"/>
    <xf numFmtId="0" fontId="0" fillId="15" borderId="7" xfId="0" applyFill="1" applyBorder="1"/>
    <xf numFmtId="0" fontId="0" fillId="19" borderId="1" xfId="0" applyFill="1" applyBorder="1"/>
    <xf numFmtId="0" fontId="0" fillId="19" borderId="2" xfId="0" applyFill="1" applyBorder="1"/>
    <xf numFmtId="0" fontId="0" fillId="19" borderId="3" xfId="0" applyFill="1" applyBorder="1"/>
    <xf numFmtId="0" fontId="0" fillId="19" borderId="4" xfId="0" applyFill="1" applyBorder="1"/>
    <xf numFmtId="0" fontId="0" fillId="19" borderId="0" xfId="0" applyFill="1" applyBorder="1"/>
    <xf numFmtId="0" fontId="0" fillId="19" borderId="5" xfId="0" applyFill="1" applyBorder="1"/>
    <xf numFmtId="0" fontId="0" fillId="19" borderId="6" xfId="0" applyFill="1" applyBorder="1"/>
    <xf numFmtId="0" fontId="0" fillId="19" borderId="7" xfId="0" applyFill="1" applyBorder="1"/>
    <xf numFmtId="0" fontId="0" fillId="19" borderId="8" xfId="0" applyFill="1" applyBorder="1"/>
    <xf numFmtId="0" fontId="0" fillId="6" borderId="2" xfId="0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6" fillId="20" borderId="4" xfId="0" applyFont="1" applyFill="1" applyBorder="1"/>
    <xf numFmtId="0" fontId="6" fillId="20" borderId="0" xfId="0" applyFont="1" applyFill="1" applyBorder="1"/>
    <xf numFmtId="0" fontId="6" fillId="20" borderId="5" xfId="0" applyFont="1" applyFill="1" applyBorder="1"/>
    <xf numFmtId="0" fontId="6" fillId="20" borderId="6" xfId="0" applyFont="1" applyFill="1" applyBorder="1"/>
    <xf numFmtId="0" fontId="6" fillId="20" borderId="7" xfId="0" applyFont="1" applyFill="1" applyBorder="1"/>
    <xf numFmtId="0" fontId="6" fillId="20" borderId="8" xfId="0" applyFont="1" applyFill="1" applyBorder="1"/>
    <xf numFmtId="0" fontId="0" fillId="21" borderId="1" xfId="0" applyFill="1" applyBorder="1"/>
    <xf numFmtId="0" fontId="0" fillId="21" borderId="3" xfId="0" applyFill="1" applyBorder="1"/>
    <xf numFmtId="0" fontId="0" fillId="21" borderId="4" xfId="0" applyFill="1" applyBorder="1"/>
    <xf numFmtId="0" fontId="0" fillId="21" borderId="5" xfId="0" applyFill="1" applyBorder="1"/>
    <xf numFmtId="0" fontId="0" fillId="21" borderId="6" xfId="0" applyFill="1" applyBorder="1"/>
    <xf numFmtId="0" fontId="0" fillId="21" borderId="8" xfId="0" applyFill="1" applyBorder="1"/>
    <xf numFmtId="0" fontId="3" fillId="2" borderId="0" xfId="0" applyFont="1" applyFill="1"/>
    <xf numFmtId="0" fontId="2" fillId="20" borderId="0" xfId="0" applyFont="1" applyFill="1"/>
    <xf numFmtId="0" fontId="0" fillId="22" borderId="1" xfId="0" applyFill="1" applyBorder="1"/>
    <xf numFmtId="0" fontId="0" fillId="22" borderId="3" xfId="0" applyFill="1" applyBorder="1"/>
    <xf numFmtId="0" fontId="0" fillId="22" borderId="4" xfId="0" applyFill="1" applyBorder="1"/>
    <xf numFmtId="0" fontId="0" fillId="22" borderId="5" xfId="0" applyFill="1" applyBorder="1"/>
    <xf numFmtId="0" fontId="0" fillId="22" borderId="6" xfId="0" applyFill="1" applyBorder="1"/>
    <xf numFmtId="0" fontId="0" fillId="2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33"/>
      <color rgb="FFFF6600"/>
      <color rgb="FF1C1C1C"/>
      <color rgb="FF32323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FRE!$D$19</c:f>
              <c:strCache>
                <c:ptCount val="1"/>
                <c:pt idx="0">
                  <c:v>FREQUENCY(F)</c:v>
                </c:pt>
              </c:strCache>
            </c:strRef>
          </c:tx>
          <c:dLbls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FRE!$A$20:$C$27</c:f>
              <c:multiLvlStrCache>
                <c:ptCount val="8"/>
                <c:lvl>
                  <c:pt idx="0">
                    <c:v>UPPER LIMIT</c:v>
                  </c:pt>
                  <c:pt idx="1">
                    <c:v>520</c:v>
                  </c:pt>
                  <c:pt idx="2">
                    <c:v>540</c:v>
                  </c:pt>
                  <c:pt idx="3">
                    <c:v>560</c:v>
                  </c:pt>
                  <c:pt idx="4">
                    <c:v>580</c:v>
                  </c:pt>
                  <c:pt idx="5">
                    <c:v>600</c:v>
                  </c:pt>
                  <c:pt idx="7">
                    <c:v>TOTAL</c:v>
                  </c:pt>
                </c:lvl>
                <c:lvl>
                  <c:pt idx="0">
                    <c:v>LOWER LIMIT</c:v>
                  </c:pt>
                  <c:pt idx="1">
                    <c:v>500</c:v>
                  </c:pt>
                  <c:pt idx="2">
                    <c:v>520</c:v>
                  </c:pt>
                  <c:pt idx="3">
                    <c:v>540</c:v>
                  </c:pt>
                  <c:pt idx="4">
                    <c:v>560</c:v>
                  </c:pt>
                  <c:pt idx="5">
                    <c:v>580</c:v>
                  </c:pt>
                  <c:pt idx="7">
                    <c:v>TOTAL</c:v>
                  </c:pt>
                </c:lvl>
              </c:multiLvlStrCache>
            </c:multiLvlStrRef>
          </c:cat>
          <c:val>
            <c:numRef>
              <c:f>FRE!$D$20:$D$27</c:f>
              <c:numCache>
                <c:formatCode>General</c:formatCode>
                <c:ptCount val="8"/>
                <c:pt idx="1">
                  <c:v>8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7">
                  <c:v>50</c:v>
                </c:pt>
              </c:numCache>
            </c:numRef>
          </c:val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REGRESSION!$B$6</c:f>
              <c:strCache>
                <c:ptCount val="1"/>
                <c:pt idx="0">
                  <c:v>X(DEPENDENT)</c:v>
                </c:pt>
              </c:strCache>
            </c:strRef>
          </c:tx>
          <c:marker>
            <c:symbol val="none"/>
          </c:marker>
          <c:xVal>
            <c:numRef>
              <c:f>REGRESSION!$A$7:$A$16</c:f>
              <c:numCache>
                <c:formatCode>General</c:formatCode>
                <c:ptCount val="10"/>
                <c:pt idx="0">
                  <c:v>90</c:v>
                </c:pt>
                <c:pt idx="1">
                  <c:v>92</c:v>
                </c:pt>
                <c:pt idx="2">
                  <c:v>61</c:v>
                </c:pt>
                <c:pt idx="3">
                  <c:v>79</c:v>
                </c:pt>
                <c:pt idx="4">
                  <c:v>74</c:v>
                </c:pt>
                <c:pt idx="5">
                  <c:v>90</c:v>
                </c:pt>
                <c:pt idx="6">
                  <c:v>86</c:v>
                </c:pt>
                <c:pt idx="7">
                  <c:v>67</c:v>
                </c:pt>
                <c:pt idx="8">
                  <c:v>96</c:v>
                </c:pt>
                <c:pt idx="9">
                  <c:v>96</c:v>
                </c:pt>
              </c:numCache>
            </c:numRef>
          </c:xVal>
          <c:yVal>
            <c:numRef>
              <c:f>REGRESSION!$B$7:$B$16</c:f>
              <c:numCache>
                <c:formatCode>General</c:formatCode>
                <c:ptCount val="10"/>
                <c:pt idx="0">
                  <c:v>400</c:v>
                </c:pt>
                <c:pt idx="1">
                  <c:v>309</c:v>
                </c:pt>
                <c:pt idx="2">
                  <c:v>363</c:v>
                </c:pt>
                <c:pt idx="3">
                  <c:v>348</c:v>
                </c:pt>
                <c:pt idx="4">
                  <c:v>322</c:v>
                </c:pt>
                <c:pt idx="5">
                  <c:v>346</c:v>
                </c:pt>
                <c:pt idx="6">
                  <c:v>366</c:v>
                </c:pt>
                <c:pt idx="7">
                  <c:v>319</c:v>
                </c:pt>
                <c:pt idx="8">
                  <c:v>308</c:v>
                </c:pt>
                <c:pt idx="9">
                  <c:v>356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REGRESSION!$C$6</c:f>
              <c:strCache>
                <c:ptCount val="1"/>
                <c:pt idx="0">
                  <c:v>ESTIMATED VALUE OF X</c:v>
                </c:pt>
              </c:strCache>
            </c:strRef>
          </c:tx>
          <c:marker>
            <c:symbol val="none"/>
          </c:marker>
          <c:xVal>
            <c:numRef>
              <c:f>REGRESSION!$A$7:$A$16</c:f>
              <c:numCache>
                <c:formatCode>General</c:formatCode>
                <c:ptCount val="10"/>
                <c:pt idx="0">
                  <c:v>90</c:v>
                </c:pt>
                <c:pt idx="1">
                  <c:v>92</c:v>
                </c:pt>
                <c:pt idx="2">
                  <c:v>61</c:v>
                </c:pt>
                <c:pt idx="3">
                  <c:v>79</c:v>
                </c:pt>
                <c:pt idx="4">
                  <c:v>74</c:v>
                </c:pt>
                <c:pt idx="5">
                  <c:v>90</c:v>
                </c:pt>
                <c:pt idx="6">
                  <c:v>86</c:v>
                </c:pt>
                <c:pt idx="7">
                  <c:v>67</c:v>
                </c:pt>
                <c:pt idx="8">
                  <c:v>96</c:v>
                </c:pt>
                <c:pt idx="9">
                  <c:v>96</c:v>
                </c:pt>
              </c:numCache>
            </c:numRef>
          </c:xVal>
          <c:yVal>
            <c:numRef>
              <c:f>REGRESSION!$C$7:$C$16</c:f>
              <c:numCache>
                <c:formatCode>General</c:formatCode>
                <c:ptCount val="10"/>
                <c:pt idx="0">
                  <c:v>82.796503775356626</c:v>
                </c:pt>
                <c:pt idx="1">
                  <c:v>82.798896335267102</c:v>
                </c:pt>
                <c:pt idx="2">
                  <c:v>82.761811656654785</c:v>
                </c:pt>
                <c:pt idx="3">
                  <c:v>82.783344695849038</c:v>
                </c:pt>
                <c:pt idx="4">
                  <c:v>82.777363296072849</c:v>
                </c:pt>
                <c:pt idx="5">
                  <c:v>82.796503775356626</c:v>
                </c:pt>
                <c:pt idx="6">
                  <c:v>82.791718655535689</c:v>
                </c:pt>
                <c:pt idx="7">
                  <c:v>82.768989336386198</c:v>
                </c:pt>
                <c:pt idx="8">
                  <c:v>82.803681455088039</c:v>
                </c:pt>
                <c:pt idx="9">
                  <c:v>82.803681455088039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42112"/>
        <c:axId val="195643648"/>
      </c:scatterChart>
      <c:valAx>
        <c:axId val="1956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643648"/>
        <c:crosses val="autoZero"/>
        <c:crossBetween val="midCat"/>
      </c:valAx>
      <c:valAx>
        <c:axId val="19564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642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NPV!$A$30</c:f>
              <c:strCache>
                <c:ptCount val="1"/>
                <c:pt idx="0">
                  <c:v>RATES</c:v>
                </c:pt>
              </c:strCache>
            </c:strRef>
          </c:tx>
          <c:marker>
            <c:symbol val="none"/>
          </c:marker>
          <c:val>
            <c:numRef>
              <c:f>NPV!$B$30:$F$30</c:f>
              <c:numCache>
                <c:formatCode>0%</c:formatCode>
                <c:ptCount val="5"/>
                <c:pt idx="0">
                  <c:v>0.11</c:v>
                </c:pt>
                <c:pt idx="1">
                  <c:v>0.12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NPV!$A$31</c:f>
              <c:strCache>
                <c:ptCount val="1"/>
                <c:pt idx="0">
                  <c:v>NPV</c:v>
                </c:pt>
              </c:strCache>
            </c:strRef>
          </c:tx>
          <c:marker>
            <c:symbol val="none"/>
          </c:marker>
          <c:val>
            <c:numRef>
              <c:f>NPV!$B$31:$F$31</c:f>
              <c:numCache>
                <c:formatCode>General</c:formatCode>
                <c:ptCount val="5"/>
                <c:pt idx="0" formatCode="#,##0.00_);[Red]\(#,##0.00\)">
                  <c:v>87151.210672182846</c:v>
                </c:pt>
                <c:pt idx="1">
                  <c:v>77090.033751747687</c:v>
                </c:pt>
                <c:pt idx="2">
                  <c:v>67432.385359252046</c:v>
                </c:pt>
                <c:pt idx="3">
                  <c:v>58157.535059499671</c:v>
                </c:pt>
                <c:pt idx="4">
                  <c:v>49246.023712533759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5884928"/>
        <c:axId val="195887104"/>
      </c:lineChart>
      <c:catAx>
        <c:axId val="195884928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195887104"/>
        <c:crosses val="autoZero"/>
        <c:auto val="1"/>
        <c:lblAlgn val="ctr"/>
        <c:lblOffset val="100"/>
        <c:noMultiLvlLbl val="0"/>
      </c:catAx>
      <c:valAx>
        <c:axId val="19588710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%" sourceLinked="1"/>
        <c:majorTickMark val="out"/>
        <c:minorTickMark val="none"/>
        <c:tickLblPos val="nextTo"/>
        <c:crossAx val="19588492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171451</xdr:rowOff>
    </xdr:from>
    <xdr:to>
      <xdr:col>7</xdr:col>
      <xdr:colOff>219075</xdr:colOff>
      <xdr:row>7</xdr:row>
      <xdr:rowOff>161925</xdr:rowOff>
    </xdr:to>
    <xdr:sp macro="" textlink="">
      <xdr:nvSpPr>
        <xdr:cNvPr id="2" name="Curved Down Arrow 1"/>
        <xdr:cNvSpPr/>
      </xdr:nvSpPr>
      <xdr:spPr>
        <a:xfrm>
          <a:off x="5514975" y="1133476"/>
          <a:ext cx="1409700" cy="371474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19050</xdr:colOff>
      <xdr:row>11</xdr:row>
      <xdr:rowOff>152400</xdr:rowOff>
    </xdr:from>
    <xdr:to>
      <xdr:col>11</xdr:col>
      <xdr:colOff>19050</xdr:colOff>
      <xdr:row>14</xdr:row>
      <xdr:rowOff>19050</xdr:rowOff>
    </xdr:to>
    <xdr:sp macro="" textlink="">
      <xdr:nvSpPr>
        <xdr:cNvPr id="4" name="Left Arrow 3"/>
        <xdr:cNvSpPr/>
      </xdr:nvSpPr>
      <xdr:spPr>
        <a:xfrm>
          <a:off x="8553450" y="2276475"/>
          <a:ext cx="609600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7</xdr:col>
      <xdr:colOff>28575</xdr:colOff>
      <xdr:row>22</xdr:row>
      <xdr:rowOff>104775</xdr:rowOff>
    </xdr:from>
    <xdr:to>
      <xdr:col>10</xdr:col>
      <xdr:colOff>552450</xdr:colOff>
      <xdr:row>27</xdr:row>
      <xdr:rowOff>104775</xdr:rowOff>
    </xdr:to>
    <xdr:cxnSp macro="">
      <xdr:nvCxnSpPr>
        <xdr:cNvPr id="6" name="Elbow Connector 5"/>
        <xdr:cNvCxnSpPr/>
      </xdr:nvCxnSpPr>
      <xdr:spPr>
        <a:xfrm>
          <a:off x="6734175" y="4362450"/>
          <a:ext cx="2352675" cy="981075"/>
        </a:xfrm>
        <a:prstGeom prst="bentConnector3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36</xdr:row>
      <xdr:rowOff>19050</xdr:rowOff>
    </xdr:from>
    <xdr:to>
      <xdr:col>15</xdr:col>
      <xdr:colOff>257175</xdr:colOff>
      <xdr:row>50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95250</xdr:colOff>
      <xdr:row>36</xdr:row>
      <xdr:rowOff>38100</xdr:rowOff>
    </xdr:from>
    <xdr:to>
      <xdr:col>2</xdr:col>
      <xdr:colOff>1638300</xdr:colOff>
      <xdr:row>36</xdr:row>
      <xdr:rowOff>66675</xdr:rowOff>
    </xdr:to>
    <xdr:cxnSp macro="">
      <xdr:nvCxnSpPr>
        <xdr:cNvPr id="7" name="Straight Arrow Connector 6"/>
        <xdr:cNvCxnSpPr/>
      </xdr:nvCxnSpPr>
      <xdr:spPr>
        <a:xfrm>
          <a:off x="2600325" y="7172325"/>
          <a:ext cx="1543050" cy="28575"/>
        </a:xfrm>
        <a:prstGeom prst="straightConnector1">
          <a:avLst/>
        </a:prstGeom>
        <a:ln w="28575">
          <a:solidFill>
            <a:srgbClr val="FF0000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7</xdr:row>
      <xdr:rowOff>180975</xdr:rowOff>
    </xdr:from>
    <xdr:to>
      <xdr:col>14</xdr:col>
      <xdr:colOff>304800</xdr:colOff>
      <xdr:row>11</xdr:row>
      <xdr:rowOff>171450</xdr:rowOff>
    </xdr:to>
    <xdr:cxnSp macro="">
      <xdr:nvCxnSpPr>
        <xdr:cNvPr id="5" name="Elbow Connector 4"/>
        <xdr:cNvCxnSpPr/>
      </xdr:nvCxnSpPr>
      <xdr:spPr>
        <a:xfrm>
          <a:off x="9248775" y="1533525"/>
          <a:ext cx="1400175" cy="752475"/>
        </a:xfrm>
        <a:prstGeom prst="bentConnector3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18</xdr:row>
      <xdr:rowOff>47625</xdr:rowOff>
    </xdr:from>
    <xdr:to>
      <xdr:col>5</xdr:col>
      <xdr:colOff>561975</xdr:colOff>
      <xdr:row>18</xdr:row>
      <xdr:rowOff>57150</xdr:rowOff>
    </xdr:to>
    <xdr:cxnSp macro="">
      <xdr:nvCxnSpPr>
        <xdr:cNvPr id="9" name="Straight Arrow Connector 8"/>
        <xdr:cNvCxnSpPr/>
      </xdr:nvCxnSpPr>
      <xdr:spPr>
        <a:xfrm flipV="1">
          <a:off x="3581400" y="3524250"/>
          <a:ext cx="1704975" cy="9525"/>
        </a:xfrm>
        <a:prstGeom prst="straightConnector1">
          <a:avLst/>
        </a:prstGeom>
        <a:ln w="38100">
          <a:solidFill>
            <a:srgbClr val="FF0000"/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485775</xdr:colOff>
      <xdr:row>5</xdr:row>
      <xdr:rowOff>95250</xdr:rowOff>
    </xdr:from>
    <xdr:to>
      <xdr:col>7</xdr:col>
      <xdr:colOff>409575</xdr:colOff>
      <xdr:row>9</xdr:row>
      <xdr:rowOff>123825</xdr:rowOff>
    </xdr:to>
    <xdr:sp macro="" textlink="">
      <xdr:nvSpPr>
        <xdr:cNvPr id="12" name="Round Diagonal Corner Rectangle 11"/>
        <xdr:cNvSpPr/>
      </xdr:nvSpPr>
      <xdr:spPr>
        <a:xfrm>
          <a:off x="4600575" y="1066800"/>
          <a:ext cx="1885950" cy="790575"/>
        </a:xfrm>
        <a:prstGeom prst="round2Diag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0</xdr:colOff>
      <xdr:row>2</xdr:row>
      <xdr:rowOff>133350</xdr:rowOff>
    </xdr:from>
    <xdr:to>
      <xdr:col>1</xdr:col>
      <xdr:colOff>57150</xdr:colOff>
      <xdr:row>4</xdr:row>
      <xdr:rowOff>19050</xdr:rowOff>
    </xdr:to>
    <xdr:sp macro="" textlink="">
      <xdr:nvSpPr>
        <xdr:cNvPr id="13" name="Pentagon 12"/>
        <xdr:cNvSpPr/>
      </xdr:nvSpPr>
      <xdr:spPr>
        <a:xfrm>
          <a:off x="0" y="514350"/>
          <a:ext cx="1152525" cy="276225"/>
        </a:xfrm>
        <a:prstGeom prst="homePlat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257175</xdr:colOff>
      <xdr:row>11</xdr:row>
      <xdr:rowOff>161925</xdr:rowOff>
    </xdr:from>
    <xdr:to>
      <xdr:col>4</xdr:col>
      <xdr:colOff>352425</xdr:colOff>
      <xdr:row>13</xdr:row>
      <xdr:rowOff>152400</xdr:rowOff>
    </xdr:to>
    <xdr:sp macro="" textlink="">
      <xdr:nvSpPr>
        <xdr:cNvPr id="3" name="Notched Right Arrow 2"/>
        <xdr:cNvSpPr/>
      </xdr:nvSpPr>
      <xdr:spPr>
        <a:xfrm>
          <a:off x="3762375" y="2276475"/>
          <a:ext cx="704850" cy="381000"/>
        </a:xfrm>
        <a:prstGeom prst="notchedRightArrow">
          <a:avLst/>
        </a:prstGeom>
        <a:solidFill>
          <a:srgbClr val="FF99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6</xdr:col>
      <xdr:colOff>600075</xdr:colOff>
      <xdr:row>21</xdr:row>
      <xdr:rowOff>133350</xdr:rowOff>
    </xdr:from>
    <xdr:to>
      <xdr:col>14</xdr:col>
      <xdr:colOff>295275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15</xdr:row>
      <xdr:rowOff>28575</xdr:rowOff>
    </xdr:from>
    <xdr:to>
      <xdr:col>8</xdr:col>
      <xdr:colOff>133350</xdr:colOff>
      <xdr:row>17</xdr:row>
      <xdr:rowOff>66675</xdr:rowOff>
    </xdr:to>
    <xdr:sp macro="" textlink="">
      <xdr:nvSpPr>
        <xdr:cNvPr id="4" name="Right Arrow 3"/>
        <xdr:cNvSpPr/>
      </xdr:nvSpPr>
      <xdr:spPr>
        <a:xfrm>
          <a:off x="5219700" y="2933700"/>
          <a:ext cx="2190750" cy="419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10</xdr:col>
      <xdr:colOff>381000</xdr:colOff>
      <xdr:row>19</xdr:row>
      <xdr:rowOff>0</xdr:rowOff>
    </xdr:from>
    <xdr:to>
      <xdr:col>11</xdr:col>
      <xdr:colOff>114300</xdr:colOff>
      <xdr:row>22</xdr:row>
      <xdr:rowOff>76200</xdr:rowOff>
    </xdr:to>
    <xdr:sp macro="" textlink="">
      <xdr:nvSpPr>
        <xdr:cNvPr id="9" name="Down Arrow 8"/>
        <xdr:cNvSpPr/>
      </xdr:nvSpPr>
      <xdr:spPr>
        <a:xfrm>
          <a:off x="8877300" y="3667125"/>
          <a:ext cx="342900" cy="647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152400</xdr:rowOff>
    </xdr:from>
    <xdr:to>
      <xdr:col>12</xdr:col>
      <xdr:colOff>314325</xdr:colOff>
      <xdr:row>7</xdr:row>
      <xdr:rowOff>152400</xdr:rowOff>
    </xdr:to>
    <xdr:sp macro="" textlink="">
      <xdr:nvSpPr>
        <xdr:cNvPr id="3" name="Curved Down Arrow 2"/>
        <xdr:cNvSpPr/>
      </xdr:nvSpPr>
      <xdr:spPr>
        <a:xfrm>
          <a:off x="7058025" y="923925"/>
          <a:ext cx="2076450" cy="57150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47625</xdr:rowOff>
    </xdr:from>
    <xdr:to>
      <xdr:col>3</xdr:col>
      <xdr:colOff>733425</xdr:colOff>
      <xdr:row>6</xdr:row>
      <xdr:rowOff>152400</xdr:rowOff>
    </xdr:to>
    <xdr:sp macro="" textlink="">
      <xdr:nvSpPr>
        <xdr:cNvPr id="6" name="Curved Down Arrow 5"/>
        <xdr:cNvSpPr/>
      </xdr:nvSpPr>
      <xdr:spPr>
        <a:xfrm>
          <a:off x="3295650" y="628650"/>
          <a:ext cx="1619250" cy="67627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47625</xdr:colOff>
      <xdr:row>15</xdr:row>
      <xdr:rowOff>180975</xdr:rowOff>
    </xdr:from>
    <xdr:to>
      <xdr:col>7</xdr:col>
      <xdr:colOff>561975</xdr:colOff>
      <xdr:row>18</xdr:row>
      <xdr:rowOff>161925</xdr:rowOff>
    </xdr:to>
    <xdr:sp macro="" textlink="">
      <xdr:nvSpPr>
        <xdr:cNvPr id="9" name="U-Turn Arrow 8"/>
        <xdr:cNvSpPr/>
      </xdr:nvSpPr>
      <xdr:spPr>
        <a:xfrm>
          <a:off x="5362575" y="3133725"/>
          <a:ext cx="2343150" cy="561975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180975</xdr:rowOff>
    </xdr:from>
    <xdr:to>
      <xdr:col>0</xdr:col>
      <xdr:colOff>2438400</xdr:colOff>
      <xdr:row>23</xdr:row>
      <xdr:rowOff>47624</xdr:rowOff>
    </xdr:to>
    <xdr:sp macro="" textlink="">
      <xdr:nvSpPr>
        <xdr:cNvPr id="2" name="Round Diagonal Corner Rectangle 1"/>
        <xdr:cNvSpPr/>
      </xdr:nvSpPr>
      <xdr:spPr>
        <a:xfrm>
          <a:off x="0" y="4038600"/>
          <a:ext cx="2438400" cy="438149"/>
        </a:xfrm>
        <a:prstGeom prst="round2Diag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3</xdr:col>
      <xdr:colOff>409575</xdr:colOff>
      <xdr:row>36</xdr:row>
      <xdr:rowOff>85725</xdr:rowOff>
    </xdr:from>
    <xdr:to>
      <xdr:col>8</xdr:col>
      <xdr:colOff>342900</xdr:colOff>
      <xdr:row>50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4</xdr:row>
      <xdr:rowOff>28575</xdr:rowOff>
    </xdr:from>
    <xdr:to>
      <xdr:col>4</xdr:col>
      <xdr:colOff>923925</xdr:colOff>
      <xdr:row>5</xdr:row>
      <xdr:rowOff>180975</xdr:rowOff>
    </xdr:to>
    <xdr:sp macro="" textlink="">
      <xdr:nvSpPr>
        <xdr:cNvPr id="5" name="U-Turn Arrow 4"/>
        <xdr:cNvSpPr/>
      </xdr:nvSpPr>
      <xdr:spPr>
        <a:xfrm>
          <a:off x="4762500" y="800100"/>
          <a:ext cx="1514475" cy="342900"/>
        </a:xfrm>
        <a:prstGeom prst="utur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66675</xdr:colOff>
      <xdr:row>15</xdr:row>
      <xdr:rowOff>142875</xdr:rowOff>
    </xdr:from>
    <xdr:to>
      <xdr:col>3</xdr:col>
      <xdr:colOff>561975</xdr:colOff>
      <xdr:row>20</xdr:row>
      <xdr:rowOff>47625</xdr:rowOff>
    </xdr:to>
    <xdr:cxnSp macro="">
      <xdr:nvCxnSpPr>
        <xdr:cNvPr id="10" name="Elbow Connector 9"/>
        <xdr:cNvCxnSpPr/>
      </xdr:nvCxnSpPr>
      <xdr:spPr>
        <a:xfrm>
          <a:off x="4200525" y="3048000"/>
          <a:ext cx="1104900" cy="885825"/>
        </a:xfrm>
        <a:prstGeom prst="bentConnector3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29</xdr:row>
      <xdr:rowOff>180975</xdr:rowOff>
    </xdr:from>
    <xdr:to>
      <xdr:col>6</xdr:col>
      <xdr:colOff>600075</xdr:colOff>
      <xdr:row>29</xdr:row>
      <xdr:rowOff>180975</xdr:rowOff>
    </xdr:to>
    <xdr:cxnSp macro="">
      <xdr:nvCxnSpPr>
        <xdr:cNvPr id="14" name="Straight Arrow Connector 13"/>
        <xdr:cNvCxnSpPr/>
      </xdr:nvCxnSpPr>
      <xdr:spPr>
        <a:xfrm>
          <a:off x="8201025" y="5819775"/>
          <a:ext cx="561975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11</xdr:row>
      <xdr:rowOff>9525</xdr:rowOff>
    </xdr:from>
    <xdr:to>
      <xdr:col>9</xdr:col>
      <xdr:colOff>190500</xdr:colOff>
      <xdr:row>13</xdr:row>
      <xdr:rowOff>9525</xdr:rowOff>
    </xdr:to>
    <xdr:sp macro="" textlink="">
      <xdr:nvSpPr>
        <xdr:cNvPr id="18" name="U-Turn Arrow 17"/>
        <xdr:cNvSpPr/>
      </xdr:nvSpPr>
      <xdr:spPr>
        <a:xfrm>
          <a:off x="8210550" y="2143125"/>
          <a:ext cx="1971675" cy="400050"/>
        </a:xfrm>
        <a:prstGeom prst="utur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opLeftCell="A37" workbookViewId="0">
      <selection activeCell="L5" sqref="L5:N5"/>
    </sheetView>
  </sheetViews>
  <sheetFormatPr defaultRowHeight="15" x14ac:dyDescent="0.25"/>
  <cols>
    <col min="1" max="1" width="28.42578125" customWidth="1"/>
    <col min="3" max="3" width="25.85546875" customWidth="1"/>
    <col min="4" max="4" width="15" customWidth="1"/>
    <col min="5" max="5" width="13.42578125" customWidth="1"/>
  </cols>
  <sheetData>
    <row r="2" spans="1:16" x14ac:dyDescent="0.25">
      <c r="A2" s="1" t="s">
        <v>74</v>
      </c>
      <c r="B2" s="53"/>
    </row>
    <row r="5" spans="1:16" ht="19.5" thickBot="1" x14ac:dyDescent="0.35">
      <c r="A5" s="94"/>
      <c r="B5" s="183" t="s">
        <v>26</v>
      </c>
      <c r="C5" s="183"/>
      <c r="L5" s="183" t="s">
        <v>75</v>
      </c>
      <c r="M5" s="183"/>
      <c r="N5" s="148"/>
    </row>
    <row r="6" spans="1:16" x14ac:dyDescent="0.25">
      <c r="A6" s="139">
        <f ca="1">RANDBETWEEN(500,600)</f>
        <v>535</v>
      </c>
      <c r="B6" s="140">
        <f t="shared" ref="B6:E15" ca="1" si="0">RANDBETWEEN(500,600)</f>
        <v>581</v>
      </c>
      <c r="C6" s="140">
        <f t="shared" ca="1" si="0"/>
        <v>598</v>
      </c>
      <c r="D6" s="121">
        <f t="shared" ca="1" si="0"/>
        <v>519</v>
      </c>
      <c r="E6" s="122">
        <f t="shared" ca="1" si="0"/>
        <v>549</v>
      </c>
      <c r="L6" s="38">
        <v>562</v>
      </c>
      <c r="M6" s="39">
        <v>591</v>
      </c>
      <c r="N6" s="39">
        <v>516</v>
      </c>
      <c r="O6" s="39">
        <v>500</v>
      </c>
      <c r="P6" s="40">
        <v>579</v>
      </c>
    </row>
    <row r="7" spans="1:16" x14ac:dyDescent="0.25">
      <c r="A7" s="141">
        <f t="shared" ref="A7:A15" ca="1" si="1">RANDBETWEEN(500,600)</f>
        <v>590</v>
      </c>
      <c r="B7" s="126">
        <f t="shared" ca="1" si="0"/>
        <v>577</v>
      </c>
      <c r="C7" s="126">
        <f t="shared" ca="1" si="0"/>
        <v>596</v>
      </c>
      <c r="D7" s="126">
        <f t="shared" ca="1" si="0"/>
        <v>576</v>
      </c>
      <c r="E7" s="127">
        <f t="shared" ca="1" si="0"/>
        <v>585</v>
      </c>
      <c r="L7" s="2">
        <v>529</v>
      </c>
      <c r="M7" s="3">
        <v>503</v>
      </c>
      <c r="N7" s="3">
        <v>582</v>
      </c>
      <c r="O7" s="3">
        <v>575</v>
      </c>
      <c r="P7" s="4">
        <v>582</v>
      </c>
    </row>
    <row r="8" spans="1:16" ht="15.75" thickBot="1" x14ac:dyDescent="0.3">
      <c r="A8" s="15">
        <f t="shared" ca="1" si="1"/>
        <v>519</v>
      </c>
      <c r="B8" s="124">
        <f t="shared" ca="1" si="0"/>
        <v>530</v>
      </c>
      <c r="C8" s="124">
        <f t="shared" ca="1" si="0"/>
        <v>554</v>
      </c>
      <c r="D8" s="124">
        <f t="shared" ca="1" si="0"/>
        <v>587</v>
      </c>
      <c r="E8" s="125">
        <f t="shared" ca="1" si="0"/>
        <v>589</v>
      </c>
      <c r="L8" s="41">
        <v>591</v>
      </c>
      <c r="M8" s="42">
        <v>554</v>
      </c>
      <c r="N8" s="42">
        <v>541</v>
      </c>
      <c r="O8" s="42">
        <v>527</v>
      </c>
      <c r="P8" s="43">
        <v>534</v>
      </c>
    </row>
    <row r="9" spans="1:16" x14ac:dyDescent="0.25">
      <c r="A9" s="141">
        <f t="shared" ca="1" si="1"/>
        <v>540</v>
      </c>
      <c r="B9" s="126">
        <f t="shared" ca="1" si="0"/>
        <v>566</v>
      </c>
      <c r="C9" s="126">
        <f t="shared" ca="1" si="0"/>
        <v>530</v>
      </c>
      <c r="D9" s="126">
        <f t="shared" ca="1" si="0"/>
        <v>558</v>
      </c>
      <c r="E9" s="127">
        <f t="shared" ca="1" si="0"/>
        <v>571</v>
      </c>
      <c r="G9" s="27" t="s">
        <v>98</v>
      </c>
      <c r="H9" s="28"/>
      <c r="I9" s="28"/>
      <c r="J9" s="29"/>
      <c r="L9" s="2">
        <v>577</v>
      </c>
      <c r="M9" s="3">
        <v>520</v>
      </c>
      <c r="N9" s="3">
        <v>569</v>
      </c>
      <c r="O9" s="3">
        <v>534</v>
      </c>
      <c r="P9" s="4">
        <v>555</v>
      </c>
    </row>
    <row r="10" spans="1:16" ht="15.75" thickBot="1" x14ac:dyDescent="0.3">
      <c r="A10" s="15">
        <f t="shared" ca="1" si="1"/>
        <v>566</v>
      </c>
      <c r="B10" s="124">
        <f ca="1">RANDBETWEEN(500,600)</f>
        <v>568</v>
      </c>
      <c r="C10" s="124">
        <f t="shared" ca="1" si="0"/>
        <v>587</v>
      </c>
      <c r="D10" s="124">
        <f t="shared" ca="1" si="0"/>
        <v>572</v>
      </c>
      <c r="E10" s="125">
        <f t="shared" ca="1" si="0"/>
        <v>571</v>
      </c>
      <c r="G10" s="30" t="s">
        <v>99</v>
      </c>
      <c r="H10" s="31"/>
      <c r="I10" s="32"/>
      <c r="J10" s="32"/>
      <c r="L10" s="41">
        <v>593</v>
      </c>
      <c r="M10" s="42">
        <v>542</v>
      </c>
      <c r="N10" s="42">
        <v>557</v>
      </c>
      <c r="O10" s="42">
        <v>588</v>
      </c>
      <c r="P10" s="43">
        <v>533</v>
      </c>
    </row>
    <row r="11" spans="1:16" x14ac:dyDescent="0.25">
      <c r="A11" s="141">
        <f t="shared" ca="1" si="1"/>
        <v>544</v>
      </c>
      <c r="B11" s="126">
        <f ca="1">RANDBETWEEN(500,600)</f>
        <v>590</v>
      </c>
      <c r="C11" s="126">
        <f t="shared" ca="1" si="0"/>
        <v>595</v>
      </c>
      <c r="D11" s="126">
        <f t="shared" ca="1" si="0"/>
        <v>547</v>
      </c>
      <c r="E11" s="127">
        <f t="shared" ca="1" si="0"/>
        <v>562</v>
      </c>
      <c r="L11" s="2">
        <v>547</v>
      </c>
      <c r="M11" s="3">
        <v>516</v>
      </c>
      <c r="N11" s="3">
        <v>515</v>
      </c>
      <c r="O11" s="3">
        <v>521</v>
      </c>
      <c r="P11" s="4">
        <v>581</v>
      </c>
    </row>
    <row r="12" spans="1:16" ht="15.75" thickBot="1" x14ac:dyDescent="0.3">
      <c r="A12" s="15">
        <f t="shared" ca="1" si="1"/>
        <v>536</v>
      </c>
      <c r="B12" s="124">
        <f t="shared" ca="1" si="0"/>
        <v>550</v>
      </c>
      <c r="C12" s="124">
        <f t="shared" ca="1" si="0"/>
        <v>595</v>
      </c>
      <c r="D12" s="124">
        <f t="shared" ca="1" si="0"/>
        <v>593</v>
      </c>
      <c r="E12" s="125">
        <f t="shared" ca="1" si="0"/>
        <v>542</v>
      </c>
      <c r="L12" s="41">
        <v>542</v>
      </c>
      <c r="M12" s="42">
        <v>538</v>
      </c>
      <c r="N12" s="42">
        <v>504</v>
      </c>
      <c r="O12" s="42">
        <v>513</v>
      </c>
      <c r="P12" s="43">
        <v>540</v>
      </c>
    </row>
    <row r="13" spans="1:16" x14ac:dyDescent="0.25">
      <c r="A13" s="141">
        <f t="shared" ca="1" si="1"/>
        <v>578</v>
      </c>
      <c r="B13" s="126">
        <f ca="1">RANDBETWEEN(500,600)</f>
        <v>542</v>
      </c>
      <c r="C13" s="126">
        <f t="shared" ca="1" si="0"/>
        <v>530</v>
      </c>
      <c r="D13" s="126">
        <f t="shared" ca="1" si="0"/>
        <v>504</v>
      </c>
      <c r="E13" s="127">
        <f t="shared" ca="1" si="0"/>
        <v>557</v>
      </c>
      <c r="G13" s="27" t="s">
        <v>91</v>
      </c>
      <c r="H13" s="28"/>
      <c r="I13" s="28"/>
      <c r="J13" s="29"/>
      <c r="L13" s="2">
        <v>581</v>
      </c>
      <c r="M13" s="3">
        <v>554</v>
      </c>
      <c r="N13" s="3">
        <v>568</v>
      </c>
      <c r="O13" s="3">
        <v>580</v>
      </c>
      <c r="P13" s="4">
        <v>566</v>
      </c>
    </row>
    <row r="14" spans="1:16" x14ac:dyDescent="0.25">
      <c r="A14" s="15">
        <f t="shared" ca="1" si="1"/>
        <v>569</v>
      </c>
      <c r="B14" s="124">
        <f ca="1">RANDBETWEEN(500,600)</f>
        <v>531</v>
      </c>
      <c r="C14" s="124">
        <f t="shared" ca="1" si="0"/>
        <v>531</v>
      </c>
      <c r="D14" s="124">
        <f t="shared" ca="1" si="0"/>
        <v>560</v>
      </c>
      <c r="E14" s="125">
        <f t="shared" ca="1" si="0"/>
        <v>578</v>
      </c>
      <c r="G14" s="21" t="s">
        <v>92</v>
      </c>
      <c r="H14" s="22"/>
      <c r="I14" s="22"/>
      <c r="J14" s="23"/>
      <c r="L14" s="41">
        <v>565</v>
      </c>
      <c r="M14" s="42">
        <v>571</v>
      </c>
      <c r="N14" s="42">
        <v>587</v>
      </c>
      <c r="O14" s="42">
        <v>569</v>
      </c>
      <c r="P14" s="43">
        <v>523</v>
      </c>
    </row>
    <row r="15" spans="1:16" ht="15.75" thickBot="1" x14ac:dyDescent="0.3">
      <c r="A15" s="142">
        <f t="shared" ca="1" si="1"/>
        <v>532</v>
      </c>
      <c r="B15" s="116">
        <f ca="1">RANDBETWEEN(500,600)</f>
        <v>511</v>
      </c>
      <c r="C15" s="116">
        <f t="shared" ca="1" si="0"/>
        <v>585</v>
      </c>
      <c r="D15" s="116">
        <f t="shared" ca="1" si="0"/>
        <v>594</v>
      </c>
      <c r="E15" s="119">
        <f t="shared" ca="1" si="0"/>
        <v>557</v>
      </c>
      <c r="G15" s="30" t="s">
        <v>93</v>
      </c>
      <c r="H15" s="31" t="s">
        <v>94</v>
      </c>
      <c r="I15" s="31"/>
      <c r="J15" s="32"/>
      <c r="L15" s="5">
        <v>536</v>
      </c>
      <c r="M15" s="6">
        <v>534</v>
      </c>
      <c r="N15" s="6">
        <v>557</v>
      </c>
      <c r="O15" s="6">
        <v>500</v>
      </c>
      <c r="P15" s="7">
        <v>597</v>
      </c>
    </row>
    <row r="17" spans="1:17" ht="15.75" thickBot="1" x14ac:dyDescent="0.3"/>
    <row r="18" spans="1:17" ht="15.75" thickBot="1" x14ac:dyDescent="0.3">
      <c r="K18" s="128" t="s">
        <v>79</v>
      </c>
    </row>
    <row r="19" spans="1:17" x14ac:dyDescent="0.25">
      <c r="A19" s="143" t="s">
        <v>76</v>
      </c>
      <c r="B19" s="131"/>
      <c r="C19" s="131"/>
      <c r="D19" s="131" t="s">
        <v>82</v>
      </c>
      <c r="E19" s="131" t="s">
        <v>81</v>
      </c>
      <c r="F19" s="131" t="s">
        <v>83</v>
      </c>
      <c r="G19" s="132" t="s">
        <v>84</v>
      </c>
      <c r="K19" s="129">
        <v>519</v>
      </c>
    </row>
    <row r="20" spans="1:17" x14ac:dyDescent="0.25">
      <c r="A20" s="21" t="s">
        <v>77</v>
      </c>
      <c r="B20" s="133"/>
      <c r="C20" s="133" t="s">
        <v>78</v>
      </c>
      <c r="D20" s="133"/>
      <c r="E20" s="133"/>
      <c r="F20" s="133"/>
      <c r="G20" s="134"/>
      <c r="K20" s="129">
        <v>539</v>
      </c>
    </row>
    <row r="21" spans="1:17" x14ac:dyDescent="0.25">
      <c r="A21" s="141">
        <v>500</v>
      </c>
      <c r="B21" s="135"/>
      <c r="C21" s="135">
        <v>520</v>
      </c>
      <c r="D21" s="135">
        <f t="array" ref="D21:D25">FREQUENCY(L6:P15,K19:K23)</f>
        <v>8</v>
      </c>
      <c r="E21" s="135">
        <f>(A21+C21)/2</f>
        <v>510</v>
      </c>
      <c r="F21" s="135">
        <f>D21*E21</f>
        <v>4080</v>
      </c>
      <c r="G21" s="136">
        <f>F21*E21</f>
        <v>2080800</v>
      </c>
      <c r="K21" s="129">
        <v>559</v>
      </c>
    </row>
    <row r="22" spans="1:17" x14ac:dyDescent="0.25">
      <c r="A22" s="21">
        <v>520</v>
      </c>
      <c r="B22" s="22"/>
      <c r="C22" s="22">
        <v>540</v>
      </c>
      <c r="D22" s="22">
        <v>11</v>
      </c>
      <c r="E22" s="22">
        <f>(A22+C22)/2</f>
        <v>530</v>
      </c>
      <c r="F22" s="22">
        <f t="shared" ref="F22:F25" si="2">D22*E22</f>
        <v>5830</v>
      </c>
      <c r="G22" s="23">
        <f t="shared" ref="G22:G25" si="3">F22*E22</f>
        <v>3089900</v>
      </c>
      <c r="K22" s="129">
        <v>579</v>
      </c>
    </row>
    <row r="23" spans="1:17" ht="15.75" thickBot="1" x14ac:dyDescent="0.3">
      <c r="A23" s="141">
        <v>540</v>
      </c>
      <c r="B23" s="135"/>
      <c r="C23" s="135">
        <v>560</v>
      </c>
      <c r="D23" s="135">
        <v>10</v>
      </c>
      <c r="E23" s="135">
        <f>(A23+C23)/2</f>
        <v>550</v>
      </c>
      <c r="F23" s="135">
        <f t="shared" si="2"/>
        <v>5500</v>
      </c>
      <c r="G23" s="136">
        <f t="shared" si="3"/>
        <v>3025000</v>
      </c>
      <c r="K23" s="130">
        <v>600</v>
      </c>
    </row>
    <row r="24" spans="1:17" x14ac:dyDescent="0.25">
      <c r="A24" s="21">
        <v>560</v>
      </c>
      <c r="B24" s="22"/>
      <c r="C24" s="22">
        <v>580</v>
      </c>
      <c r="D24" s="22">
        <v>10</v>
      </c>
      <c r="E24" s="22">
        <f>(A24+C24)/2</f>
        <v>570</v>
      </c>
      <c r="F24" s="22">
        <f t="shared" si="2"/>
        <v>5700</v>
      </c>
      <c r="G24" s="23">
        <f t="shared" si="3"/>
        <v>3249000</v>
      </c>
    </row>
    <row r="25" spans="1:17" x14ac:dyDescent="0.25">
      <c r="A25" s="141">
        <v>580</v>
      </c>
      <c r="B25" s="135"/>
      <c r="C25" s="135">
        <v>600</v>
      </c>
      <c r="D25" s="135">
        <v>11</v>
      </c>
      <c r="E25" s="135">
        <f>(A25+C25)/2</f>
        <v>590</v>
      </c>
      <c r="F25" s="135">
        <f t="shared" si="2"/>
        <v>6490</v>
      </c>
      <c r="G25" s="136">
        <f t="shared" si="3"/>
        <v>3829100</v>
      </c>
    </row>
    <row r="26" spans="1:17" ht="15.75" thickBot="1" x14ac:dyDescent="0.3">
      <c r="A26" s="21"/>
      <c r="B26" s="22"/>
      <c r="C26" s="22"/>
      <c r="D26" s="22"/>
      <c r="E26" s="22"/>
      <c r="F26" s="22"/>
      <c r="G26" s="23"/>
    </row>
    <row r="27" spans="1:17" ht="15.75" thickBot="1" x14ac:dyDescent="0.3">
      <c r="A27" s="142" t="s">
        <v>80</v>
      </c>
      <c r="B27" s="137"/>
      <c r="C27" s="137" t="s">
        <v>80</v>
      </c>
      <c r="D27" s="137">
        <f>SUM(D21:D25)</f>
        <v>50</v>
      </c>
      <c r="E27" s="137"/>
      <c r="F27" s="137">
        <f>SUM(F21:F25)</f>
        <v>27600</v>
      </c>
      <c r="G27" s="138">
        <f>SUM(G21:G25)</f>
        <v>15273800</v>
      </c>
      <c r="L27" s="27" t="s">
        <v>95</v>
      </c>
      <c r="M27" s="28"/>
      <c r="N27" s="28"/>
      <c r="O27" s="28"/>
      <c r="P27" s="28"/>
      <c r="Q27" s="29"/>
    </row>
    <row r="28" spans="1:17" x14ac:dyDescent="0.25">
      <c r="L28" s="21" t="s">
        <v>96</v>
      </c>
      <c r="M28" s="22"/>
      <c r="N28" s="22"/>
      <c r="O28" s="22"/>
      <c r="P28" s="22"/>
      <c r="Q28" s="23"/>
    </row>
    <row r="29" spans="1:17" ht="15.75" thickBot="1" x14ac:dyDescent="0.3">
      <c r="L29" s="30" t="s">
        <v>97</v>
      </c>
      <c r="M29" s="31"/>
      <c r="N29" s="31"/>
      <c r="O29" s="31"/>
      <c r="P29" s="31"/>
      <c r="Q29" s="32"/>
    </row>
    <row r="30" spans="1:17" x14ac:dyDescent="0.25">
      <c r="B30" s="139"/>
      <c r="C30" s="140" t="s">
        <v>85</v>
      </c>
      <c r="D30" s="140"/>
      <c r="E30" s="144">
        <f>AVERAGE(L6:P15)</f>
        <v>550.78</v>
      </c>
    </row>
    <row r="31" spans="1:17" x14ac:dyDescent="0.25">
      <c r="B31" s="15"/>
      <c r="C31" s="16" t="s">
        <v>86</v>
      </c>
      <c r="D31" s="16"/>
      <c r="E31" s="17">
        <f>STDEV(L6:P15)</f>
        <v>28.183284957939311</v>
      </c>
    </row>
    <row r="32" spans="1:17" x14ac:dyDescent="0.25">
      <c r="B32" s="15"/>
      <c r="C32" s="16" t="s">
        <v>87</v>
      </c>
      <c r="D32" s="16"/>
      <c r="E32" s="17">
        <f>SKEW(L6:P15)</f>
        <v>-0.14613485580824531</v>
      </c>
    </row>
    <row r="33" spans="1:11" x14ac:dyDescent="0.25">
      <c r="B33" s="15"/>
      <c r="C33" s="16" t="s">
        <v>88</v>
      </c>
      <c r="D33" s="16"/>
      <c r="E33" s="17">
        <f>KURT(L6:P15)</f>
        <v>-1.1407158096106413</v>
      </c>
    </row>
    <row r="34" spans="1:11" ht="15.75" thickBot="1" x14ac:dyDescent="0.3">
      <c r="B34" s="145"/>
      <c r="C34" s="146" t="s">
        <v>90</v>
      </c>
      <c r="D34" s="146" t="s">
        <v>89</v>
      </c>
      <c r="E34" s="147">
        <f>COUNTIF(L6:P15,"&gt;560")</f>
        <v>21</v>
      </c>
    </row>
    <row r="35" spans="1:11" ht="24" thickBot="1" x14ac:dyDescent="0.4">
      <c r="A35" s="148" t="s">
        <v>119</v>
      </c>
      <c r="I35" s="154"/>
      <c r="J35" s="154" t="s">
        <v>122</v>
      </c>
      <c r="K35" s="148"/>
    </row>
    <row r="36" spans="1:11" x14ac:dyDescent="0.25">
      <c r="A36" s="153" t="s">
        <v>117</v>
      </c>
      <c r="B36" s="153">
        <f>SQRT((G27/D27)-(F27/D27)*2)</f>
        <v>551.69919340162176</v>
      </c>
      <c r="D36" s="102"/>
      <c r="E36" s="155"/>
      <c r="F36" s="103"/>
    </row>
    <row r="37" spans="1:11" x14ac:dyDescent="0.25">
      <c r="A37" s="153"/>
      <c r="B37" s="153"/>
      <c r="D37" s="104" t="s">
        <v>120</v>
      </c>
      <c r="E37" s="156"/>
      <c r="F37" s="105"/>
    </row>
    <row r="38" spans="1:11" ht="15.75" thickBot="1" x14ac:dyDescent="0.3">
      <c r="A38" s="153" t="s">
        <v>118</v>
      </c>
      <c r="B38" s="153">
        <f>F27/D27</f>
        <v>552</v>
      </c>
      <c r="D38" s="106" t="s">
        <v>121</v>
      </c>
      <c r="E38" s="157"/>
      <c r="F38" s="10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O20" sqref="O20"/>
    </sheetView>
  </sheetViews>
  <sheetFormatPr defaultRowHeight="15" x14ac:dyDescent="0.25"/>
  <cols>
    <col min="1" max="1" width="16.42578125" customWidth="1"/>
    <col min="2" max="2" width="14" customWidth="1"/>
    <col min="3" max="3" width="22.140625" customWidth="1"/>
    <col min="6" max="6" width="11.140625" customWidth="1"/>
  </cols>
  <sheetData>
    <row r="1" spans="1:19" x14ac:dyDescent="0.25">
      <c r="A1" s="1" t="s">
        <v>24</v>
      </c>
    </row>
    <row r="3" spans="1:19" ht="15.75" thickBot="1" x14ac:dyDescent="0.3"/>
    <row r="4" spans="1:19" x14ac:dyDescent="0.25">
      <c r="A4" t="s">
        <v>25</v>
      </c>
      <c r="K4" s="33" t="s">
        <v>26</v>
      </c>
      <c r="L4" s="11"/>
    </row>
    <row r="5" spans="1:19" ht="15.75" thickBot="1" x14ac:dyDescent="0.3">
      <c r="K5" s="12" t="s">
        <v>27</v>
      </c>
      <c r="L5" s="14" t="s">
        <v>28</v>
      </c>
    </row>
    <row r="6" spans="1:19" x14ac:dyDescent="0.25">
      <c r="A6" s="9" t="s">
        <v>29</v>
      </c>
      <c r="B6" s="10" t="s">
        <v>30</v>
      </c>
      <c r="C6" s="11" t="s">
        <v>31</v>
      </c>
      <c r="K6" s="12">
        <f ca="1">RANDBETWEEN(60,100)</f>
        <v>77</v>
      </c>
      <c r="L6" s="14">
        <f ca="1">RANDBETWEEN(300,400)</f>
        <v>327</v>
      </c>
    </row>
    <row r="7" spans="1:19" x14ac:dyDescent="0.25">
      <c r="A7" s="18">
        <v>90</v>
      </c>
      <c r="B7" s="19">
        <v>400</v>
      </c>
      <c r="C7" s="20">
        <f>$G$7+$G$8*A7</f>
        <v>82.796503775356626</v>
      </c>
      <c r="F7" t="s">
        <v>32</v>
      </c>
      <c r="G7">
        <f>INTERCEPT(A7:A16,B7:B16)</f>
        <v>82.68883857938539</v>
      </c>
      <c r="K7" s="12">
        <f t="shared" ref="K7:K14" ca="1" si="0">RANDBETWEEN(60,100)</f>
        <v>100</v>
      </c>
      <c r="L7" s="14">
        <f t="shared" ref="L7:L15" ca="1" si="1">RANDBETWEEN(300,400)</f>
        <v>337</v>
      </c>
    </row>
    <row r="8" spans="1:19" x14ac:dyDescent="0.25">
      <c r="A8" s="12">
        <v>92</v>
      </c>
      <c r="B8" s="13">
        <v>309</v>
      </c>
      <c r="C8" s="14">
        <f t="shared" ref="C8:C20" si="2">$G$7+$G$8*A8</f>
        <v>82.798896335267102</v>
      </c>
      <c r="F8" t="s">
        <v>33</v>
      </c>
      <c r="G8">
        <f>SLOPE(A7:A16,B7:B16)</f>
        <v>1.196279955235981E-3</v>
      </c>
      <c r="K8" s="12">
        <f t="shared" ca="1" si="0"/>
        <v>64</v>
      </c>
      <c r="L8" s="14">
        <f t="shared" ca="1" si="1"/>
        <v>301</v>
      </c>
    </row>
    <row r="9" spans="1:19" x14ac:dyDescent="0.25">
      <c r="A9" s="18">
        <v>61</v>
      </c>
      <c r="B9" s="19">
        <v>363</v>
      </c>
      <c r="C9" s="20">
        <f t="shared" si="2"/>
        <v>82.761811656654785</v>
      </c>
      <c r="K9" s="12">
        <f t="shared" ca="1" si="0"/>
        <v>60</v>
      </c>
      <c r="L9" s="14">
        <f t="shared" ca="1" si="1"/>
        <v>376</v>
      </c>
    </row>
    <row r="10" spans="1:19" x14ac:dyDescent="0.25">
      <c r="A10" s="12">
        <v>79</v>
      </c>
      <c r="B10" s="13">
        <v>348</v>
      </c>
      <c r="C10" s="14">
        <f t="shared" si="2"/>
        <v>82.783344695849038</v>
      </c>
      <c r="K10" s="12">
        <f t="shared" ca="1" si="0"/>
        <v>93</v>
      </c>
      <c r="L10" s="14">
        <f t="shared" ca="1" si="1"/>
        <v>394</v>
      </c>
    </row>
    <row r="11" spans="1:19" x14ac:dyDescent="0.25">
      <c r="A11" s="18">
        <v>74</v>
      </c>
      <c r="B11" s="19">
        <v>322</v>
      </c>
      <c r="C11" s="20">
        <f t="shared" si="2"/>
        <v>82.777363296072849</v>
      </c>
      <c r="K11" s="12">
        <f t="shared" ca="1" si="0"/>
        <v>65</v>
      </c>
      <c r="L11" s="14">
        <f t="shared" ca="1" si="1"/>
        <v>377</v>
      </c>
    </row>
    <row r="12" spans="1:19" ht="15.75" thickBot="1" x14ac:dyDescent="0.3">
      <c r="A12" s="12">
        <v>90</v>
      </c>
      <c r="B12" s="13">
        <v>346</v>
      </c>
      <c r="C12" s="14">
        <f t="shared" si="2"/>
        <v>82.796503775356626</v>
      </c>
      <c r="K12" s="12">
        <f t="shared" ca="1" si="0"/>
        <v>82</v>
      </c>
      <c r="L12" s="14">
        <f t="shared" ca="1" si="1"/>
        <v>391</v>
      </c>
    </row>
    <row r="13" spans="1:19" x14ac:dyDescent="0.25">
      <c r="A13" s="18">
        <v>86</v>
      </c>
      <c r="B13" s="19">
        <v>366</v>
      </c>
      <c r="C13" s="20">
        <f t="shared" si="2"/>
        <v>82.791718655535689</v>
      </c>
      <c r="F13" s="120" t="s">
        <v>106</v>
      </c>
      <c r="G13" s="121"/>
      <c r="H13" s="121"/>
      <c r="I13" s="122"/>
      <c r="K13" s="12">
        <f t="shared" ca="1" si="0"/>
        <v>84</v>
      </c>
      <c r="L13" s="14">
        <f t="shared" ca="1" si="1"/>
        <v>317</v>
      </c>
      <c r="P13" s="27" t="s">
        <v>100</v>
      </c>
      <c r="Q13" s="28"/>
      <c r="R13" s="28"/>
      <c r="S13" s="29"/>
    </row>
    <row r="14" spans="1:19" ht="15.75" thickBot="1" x14ac:dyDescent="0.3">
      <c r="A14" s="12">
        <v>67</v>
      </c>
      <c r="B14" s="13">
        <v>319</v>
      </c>
      <c r="C14" s="14">
        <f t="shared" si="2"/>
        <v>82.768989336386198</v>
      </c>
      <c r="F14" s="88" t="s">
        <v>107</v>
      </c>
      <c r="G14" s="123"/>
      <c r="H14" s="123"/>
      <c r="I14" s="89"/>
      <c r="K14" s="12">
        <f t="shared" ca="1" si="0"/>
        <v>74</v>
      </c>
      <c r="L14" s="14">
        <f t="shared" ca="1" si="1"/>
        <v>322</v>
      </c>
      <c r="P14" s="21" t="s">
        <v>101</v>
      </c>
      <c r="Q14" s="22"/>
      <c r="R14" s="22"/>
      <c r="S14" s="23"/>
    </row>
    <row r="15" spans="1:19" ht="15.75" thickBot="1" x14ac:dyDescent="0.3">
      <c r="A15" s="21">
        <v>96</v>
      </c>
      <c r="B15" s="22">
        <v>308</v>
      </c>
      <c r="C15" s="23">
        <f t="shared" si="2"/>
        <v>82.803681455088039</v>
      </c>
      <c r="K15" s="24">
        <f ca="1">RANDBETWEEN(60,100)</f>
        <v>77</v>
      </c>
      <c r="L15" s="26">
        <f t="shared" ca="1" si="1"/>
        <v>352</v>
      </c>
      <c r="P15" s="21" t="s">
        <v>102</v>
      </c>
      <c r="Q15" s="22"/>
      <c r="R15" s="22"/>
      <c r="S15" s="23"/>
    </row>
    <row r="16" spans="1:19" ht="15.75" thickBot="1" x14ac:dyDescent="0.3">
      <c r="A16" s="24">
        <v>96</v>
      </c>
      <c r="B16" s="25">
        <v>356</v>
      </c>
      <c r="C16" s="26">
        <f t="shared" si="2"/>
        <v>82.803681455088039</v>
      </c>
      <c r="P16" s="30" t="s">
        <v>103</v>
      </c>
      <c r="Q16" s="31"/>
      <c r="R16" s="31"/>
      <c r="S16" s="32"/>
    </row>
    <row r="17" spans="1:13" ht="15.75" thickBot="1" x14ac:dyDescent="0.3"/>
    <row r="18" spans="1:13" ht="15.75" thickBot="1" x14ac:dyDescent="0.3">
      <c r="A18" s="27">
        <v>70</v>
      </c>
      <c r="B18" s="28"/>
      <c r="C18" s="29">
        <f t="shared" si="2"/>
        <v>82.772578176251912</v>
      </c>
    </row>
    <row r="19" spans="1:13" x14ac:dyDescent="0.25">
      <c r="A19" s="21">
        <v>80</v>
      </c>
      <c r="B19" s="22"/>
      <c r="C19" s="23">
        <f t="shared" si="2"/>
        <v>82.784540975804262</v>
      </c>
      <c r="G19" s="73" t="s">
        <v>104</v>
      </c>
      <c r="H19" s="74"/>
      <c r="I19" s="74"/>
      <c r="J19" s="74"/>
      <c r="K19" s="74"/>
      <c r="L19" s="74"/>
      <c r="M19" s="75"/>
    </row>
    <row r="20" spans="1:13" ht="15.75" thickBot="1" x14ac:dyDescent="0.3">
      <c r="A20" s="30">
        <v>90</v>
      </c>
      <c r="B20" s="31"/>
      <c r="C20" s="32">
        <f t="shared" si="2"/>
        <v>82.796503775356626</v>
      </c>
      <c r="G20" s="117" t="s">
        <v>105</v>
      </c>
      <c r="H20" s="115"/>
      <c r="I20" s="115"/>
      <c r="J20" s="115"/>
      <c r="K20" s="115"/>
      <c r="L20" s="115"/>
      <c r="M20" s="1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opLeftCell="A7" workbookViewId="0">
      <selection activeCell="F42" sqref="F42"/>
    </sheetView>
  </sheetViews>
  <sheetFormatPr defaultRowHeight="15" x14ac:dyDescent="0.25"/>
  <cols>
    <col min="1" max="1" width="22.140625" customWidth="1"/>
    <col min="2" max="2" width="13.7109375" customWidth="1"/>
    <col min="3" max="3" width="13.85546875" customWidth="1"/>
    <col min="4" max="5" width="13.5703125" customWidth="1"/>
    <col min="6" max="6" width="14" customWidth="1"/>
  </cols>
  <sheetData>
    <row r="2" spans="1:15" ht="15.75" thickBot="1" x14ac:dyDescent="0.3">
      <c r="A2" s="1" t="s">
        <v>34</v>
      </c>
      <c r="B2" s="1"/>
    </row>
    <row r="3" spans="1:15" ht="15.75" thickBot="1" x14ac:dyDescent="0.3">
      <c r="F3" s="47" t="s">
        <v>41</v>
      </c>
      <c r="G3" s="48">
        <v>6</v>
      </c>
    </row>
    <row r="4" spans="1:15" x14ac:dyDescent="0.25">
      <c r="A4" s="38" t="s">
        <v>35</v>
      </c>
      <c r="B4" s="39">
        <v>200000</v>
      </c>
      <c r="C4" s="40"/>
      <c r="F4" s="2" t="s">
        <v>42</v>
      </c>
      <c r="G4" s="4">
        <v>2</v>
      </c>
    </row>
    <row r="5" spans="1:15" x14ac:dyDescent="0.25">
      <c r="A5" s="2" t="s">
        <v>36</v>
      </c>
      <c r="B5" s="37">
        <v>0.1</v>
      </c>
      <c r="C5" s="4"/>
      <c r="F5" s="49" t="s">
        <v>43</v>
      </c>
      <c r="G5" s="50">
        <v>12</v>
      </c>
    </row>
    <row r="6" spans="1:15" x14ac:dyDescent="0.25">
      <c r="A6" s="41" t="s">
        <v>37</v>
      </c>
      <c r="B6" s="42">
        <v>6</v>
      </c>
      <c r="C6" s="43"/>
      <c r="F6" s="2" t="s">
        <v>39</v>
      </c>
      <c r="G6" s="4">
        <v>4</v>
      </c>
    </row>
    <row r="7" spans="1:15" ht="15.75" thickBot="1" x14ac:dyDescent="0.3">
      <c r="A7" s="2" t="s">
        <v>38</v>
      </c>
      <c r="B7" s="3" t="s">
        <v>39</v>
      </c>
      <c r="C7" s="4">
        <v>4</v>
      </c>
      <c r="F7" s="51" t="s">
        <v>44</v>
      </c>
      <c r="G7" s="52">
        <v>1</v>
      </c>
    </row>
    <row r="8" spans="1:15" ht="15.75" thickBot="1" x14ac:dyDescent="0.3">
      <c r="A8" s="44" t="s">
        <v>40</v>
      </c>
      <c r="B8" s="45">
        <f>PMT(B5/C7,B6*C7,-B4)</f>
        <v>11182.564072020512</v>
      </c>
      <c r="C8" s="46"/>
    </row>
    <row r="10" spans="1:15" ht="15.75" thickBot="1" x14ac:dyDescent="0.3">
      <c r="J10" t="s">
        <v>114</v>
      </c>
    </row>
    <row r="11" spans="1:15" x14ac:dyDescent="0.25">
      <c r="A11" s="38" t="s">
        <v>45</v>
      </c>
      <c r="B11" s="39" t="s">
        <v>46</v>
      </c>
      <c r="C11" s="39" t="s">
        <v>47</v>
      </c>
      <c r="D11" s="39" t="s">
        <v>48</v>
      </c>
      <c r="E11" s="40" t="s">
        <v>49</v>
      </c>
    </row>
    <row r="12" spans="1:15" x14ac:dyDescent="0.25">
      <c r="A12" s="2">
        <v>1</v>
      </c>
      <c r="B12" s="3">
        <f>B4</f>
        <v>200000</v>
      </c>
      <c r="C12" s="3">
        <f>IF(A12="","",ROUND(B12*$B$5/$C$7,0))</f>
        <v>5000</v>
      </c>
      <c r="D12" s="54">
        <f>$B$8</f>
        <v>11182.564072020512</v>
      </c>
      <c r="E12" s="55">
        <f>IF(A12="","",B12+C12-D12)</f>
        <v>193817.43592797947</v>
      </c>
    </row>
    <row r="13" spans="1:15" x14ac:dyDescent="0.25">
      <c r="A13" s="41">
        <f>IF(A12&lt;$B$6*$C$7,A12+1,"")</f>
        <v>2</v>
      </c>
      <c r="B13" s="56">
        <f t="shared" ref="B13:B35" si="0">E12</f>
        <v>193817.43592797947</v>
      </c>
      <c r="C13" s="42">
        <f t="shared" ref="C13:C35" si="1">IF(A13="","",ROUND(B13*$B$5/$C$7,0))</f>
        <v>4845</v>
      </c>
      <c r="D13" s="57">
        <f t="shared" ref="D13:D35" si="2">$B$8</f>
        <v>11182.564072020512</v>
      </c>
      <c r="E13" s="58">
        <f t="shared" ref="E13:E35" si="3">IF(A13="","",B13+C13-D13)</f>
        <v>187479.87185595895</v>
      </c>
    </row>
    <row r="14" spans="1:15" x14ac:dyDescent="0.25">
      <c r="A14" s="59">
        <f t="shared" ref="A14:A51" si="4">IF(A13&lt;$B$6*$C$7,A13+1,"")</f>
        <v>3</v>
      </c>
      <c r="B14" s="60">
        <f t="shared" si="0"/>
        <v>187479.87185595895</v>
      </c>
      <c r="C14" s="3">
        <f t="shared" si="1"/>
        <v>4687</v>
      </c>
      <c r="D14" s="54">
        <f t="shared" si="2"/>
        <v>11182.564072020512</v>
      </c>
      <c r="E14" s="55">
        <f t="shared" si="3"/>
        <v>180984.30778393842</v>
      </c>
    </row>
    <row r="15" spans="1:15" ht="15.75" thickBot="1" x14ac:dyDescent="0.3">
      <c r="A15" s="41">
        <f t="shared" si="4"/>
        <v>4</v>
      </c>
      <c r="B15" s="56">
        <f t="shared" si="0"/>
        <v>180984.30778393842</v>
      </c>
      <c r="C15" s="42">
        <f t="shared" si="1"/>
        <v>4525</v>
      </c>
      <c r="D15" s="57">
        <f t="shared" si="2"/>
        <v>11182.564072020512</v>
      </c>
      <c r="E15" s="58">
        <f t="shared" si="3"/>
        <v>174326.74371191789</v>
      </c>
    </row>
    <row r="16" spans="1:15" x14ac:dyDescent="0.25">
      <c r="A16" s="59">
        <f t="shared" si="4"/>
        <v>5</v>
      </c>
      <c r="B16" s="60">
        <f t="shared" si="0"/>
        <v>174326.74371191789</v>
      </c>
      <c r="C16" s="3">
        <f t="shared" si="1"/>
        <v>4358</v>
      </c>
      <c r="D16" s="54">
        <f t="shared" si="2"/>
        <v>11182.564072020512</v>
      </c>
      <c r="E16" s="55">
        <f t="shared" si="3"/>
        <v>167502.17963989737</v>
      </c>
      <c r="J16" s="47" t="s">
        <v>108</v>
      </c>
      <c r="K16" s="149"/>
      <c r="L16" s="149"/>
      <c r="M16" s="149"/>
      <c r="N16" s="149"/>
      <c r="O16" s="48"/>
    </row>
    <row r="17" spans="1:15" x14ac:dyDescent="0.25">
      <c r="A17" s="41">
        <f t="shared" si="4"/>
        <v>6</v>
      </c>
      <c r="B17" s="56">
        <f t="shared" si="0"/>
        <v>167502.17963989737</v>
      </c>
      <c r="C17" s="42">
        <f t="shared" si="1"/>
        <v>4188</v>
      </c>
      <c r="D17" s="57">
        <f t="shared" si="2"/>
        <v>11182.564072020512</v>
      </c>
      <c r="E17" s="58">
        <f t="shared" si="3"/>
        <v>160507.61556787684</v>
      </c>
      <c r="J17" s="49" t="s">
        <v>109</v>
      </c>
      <c r="K17" s="150"/>
      <c r="L17" s="150"/>
      <c r="M17" s="150"/>
      <c r="N17" s="150"/>
      <c r="O17" s="50"/>
    </row>
    <row r="18" spans="1:15" ht="15.75" thickBot="1" x14ac:dyDescent="0.3">
      <c r="A18" s="59">
        <f t="shared" si="4"/>
        <v>7</v>
      </c>
      <c r="B18" s="60">
        <f t="shared" si="0"/>
        <v>160507.61556787684</v>
      </c>
      <c r="C18" s="3">
        <f t="shared" si="1"/>
        <v>4013</v>
      </c>
      <c r="D18" s="54">
        <f t="shared" si="2"/>
        <v>11182.564072020512</v>
      </c>
      <c r="E18" s="55">
        <f t="shared" si="3"/>
        <v>153338.05149585631</v>
      </c>
      <c r="J18" s="51" t="s">
        <v>110</v>
      </c>
      <c r="K18" s="151"/>
      <c r="L18" s="151"/>
      <c r="M18" s="151"/>
      <c r="N18" s="151"/>
      <c r="O18" s="52"/>
    </row>
    <row r="19" spans="1:15" x14ac:dyDescent="0.25">
      <c r="A19" s="41">
        <f t="shared" si="4"/>
        <v>8</v>
      </c>
      <c r="B19" s="56">
        <f t="shared" si="0"/>
        <v>153338.05149585631</v>
      </c>
      <c r="C19" s="42">
        <f t="shared" si="1"/>
        <v>3833</v>
      </c>
      <c r="D19" s="57">
        <f t="shared" si="2"/>
        <v>11182.564072020512</v>
      </c>
      <c r="E19" s="58">
        <f t="shared" si="3"/>
        <v>145988.48742383579</v>
      </c>
    </row>
    <row r="20" spans="1:15" x14ac:dyDescent="0.25">
      <c r="A20" s="59">
        <f t="shared" si="4"/>
        <v>9</v>
      </c>
      <c r="B20" s="60">
        <f t="shared" si="0"/>
        <v>145988.48742383579</v>
      </c>
      <c r="C20" s="3">
        <f t="shared" si="1"/>
        <v>3650</v>
      </c>
      <c r="D20" s="54">
        <f t="shared" si="2"/>
        <v>11182.564072020512</v>
      </c>
      <c r="E20" s="55">
        <f t="shared" si="3"/>
        <v>138455.92335181526</v>
      </c>
    </row>
    <row r="21" spans="1:15" x14ac:dyDescent="0.25">
      <c r="A21" s="41">
        <f t="shared" si="4"/>
        <v>10</v>
      </c>
      <c r="B21" s="56">
        <f t="shared" si="0"/>
        <v>138455.92335181526</v>
      </c>
      <c r="C21" s="42">
        <f t="shared" si="1"/>
        <v>3461</v>
      </c>
      <c r="D21" s="57">
        <f t="shared" si="2"/>
        <v>11182.564072020512</v>
      </c>
      <c r="E21" s="58">
        <f t="shared" si="3"/>
        <v>130734.35927979475</v>
      </c>
    </row>
    <row r="22" spans="1:15" x14ac:dyDescent="0.25">
      <c r="A22" s="59">
        <f t="shared" si="4"/>
        <v>11</v>
      </c>
      <c r="B22" s="60">
        <f t="shared" si="0"/>
        <v>130734.35927979475</v>
      </c>
      <c r="C22" s="3">
        <f t="shared" si="1"/>
        <v>3268</v>
      </c>
      <c r="D22" s="54">
        <f t="shared" si="2"/>
        <v>11182.564072020512</v>
      </c>
      <c r="E22" s="55">
        <f t="shared" si="3"/>
        <v>122819.79520777422</v>
      </c>
    </row>
    <row r="23" spans="1:15" ht="15.75" thickBot="1" x14ac:dyDescent="0.3">
      <c r="A23" s="41">
        <f t="shared" si="4"/>
        <v>12</v>
      </c>
      <c r="B23" s="56">
        <f t="shared" si="0"/>
        <v>122819.79520777422</v>
      </c>
      <c r="C23" s="42">
        <f t="shared" si="1"/>
        <v>3070</v>
      </c>
      <c r="D23" s="57">
        <f t="shared" si="2"/>
        <v>11182.564072020512</v>
      </c>
      <c r="E23" s="58">
        <f t="shared" si="3"/>
        <v>114707.23113575371</v>
      </c>
    </row>
    <row r="24" spans="1:15" x14ac:dyDescent="0.25">
      <c r="A24" s="59">
        <f t="shared" si="4"/>
        <v>13</v>
      </c>
      <c r="B24" s="60">
        <f t="shared" si="0"/>
        <v>114707.23113575371</v>
      </c>
      <c r="C24" s="3">
        <f t="shared" si="1"/>
        <v>2868</v>
      </c>
      <c r="D24" s="54">
        <f t="shared" si="2"/>
        <v>11182.564072020512</v>
      </c>
      <c r="E24" s="55">
        <f t="shared" si="3"/>
        <v>106392.6670637332</v>
      </c>
      <c r="J24" s="38" t="s">
        <v>111</v>
      </c>
      <c r="K24" s="39"/>
      <c r="L24" s="39"/>
      <c r="M24" s="39"/>
      <c r="N24" s="40"/>
    </row>
    <row r="25" spans="1:15" x14ac:dyDescent="0.25">
      <c r="A25" s="41">
        <f t="shared" si="4"/>
        <v>14</v>
      </c>
      <c r="B25" s="56">
        <f t="shared" si="0"/>
        <v>106392.6670637332</v>
      </c>
      <c r="C25" s="42">
        <f t="shared" si="1"/>
        <v>2660</v>
      </c>
      <c r="D25" s="57">
        <f t="shared" si="2"/>
        <v>11182.564072020512</v>
      </c>
      <c r="E25" s="58">
        <f t="shared" si="3"/>
        <v>97870.102991712687</v>
      </c>
      <c r="J25" s="41" t="s">
        <v>112</v>
      </c>
      <c r="K25" s="42"/>
      <c r="L25" s="42"/>
      <c r="M25" s="42"/>
      <c r="N25" s="43"/>
    </row>
    <row r="26" spans="1:15" ht="15.75" thickBot="1" x14ac:dyDescent="0.3">
      <c r="A26" s="59">
        <f t="shared" si="4"/>
        <v>15</v>
      </c>
      <c r="B26" s="60">
        <f t="shared" si="0"/>
        <v>97870.102991712687</v>
      </c>
      <c r="C26" s="3">
        <f t="shared" si="1"/>
        <v>2447</v>
      </c>
      <c r="D26" s="54">
        <f t="shared" si="2"/>
        <v>11182.564072020512</v>
      </c>
      <c r="E26" s="55">
        <f t="shared" si="3"/>
        <v>89134.538919692175</v>
      </c>
      <c r="J26" s="44" t="s">
        <v>113</v>
      </c>
      <c r="K26" s="62"/>
      <c r="L26" s="62"/>
      <c r="M26" s="62"/>
      <c r="N26" s="46"/>
    </row>
    <row r="27" spans="1:15" x14ac:dyDescent="0.25">
      <c r="A27" s="41">
        <f t="shared" si="4"/>
        <v>16</v>
      </c>
      <c r="B27" s="56">
        <f t="shared" si="0"/>
        <v>89134.538919692175</v>
      </c>
      <c r="C27" s="42">
        <f t="shared" si="1"/>
        <v>2228</v>
      </c>
      <c r="D27" s="57">
        <f t="shared" si="2"/>
        <v>11182.564072020512</v>
      </c>
      <c r="E27" s="58">
        <f t="shared" si="3"/>
        <v>80179.974847671663</v>
      </c>
    </row>
    <row r="28" spans="1:15" x14ac:dyDescent="0.25">
      <c r="A28" s="59">
        <f t="shared" si="4"/>
        <v>17</v>
      </c>
      <c r="B28" s="60">
        <f t="shared" si="0"/>
        <v>80179.974847671663</v>
      </c>
      <c r="C28" s="3">
        <f t="shared" si="1"/>
        <v>2004</v>
      </c>
      <c r="D28" s="54">
        <f t="shared" si="2"/>
        <v>11182.564072020512</v>
      </c>
      <c r="E28" s="55">
        <f t="shared" si="3"/>
        <v>71001.410775651151</v>
      </c>
    </row>
    <row r="29" spans="1:15" x14ac:dyDescent="0.25">
      <c r="A29" s="41">
        <f t="shared" si="4"/>
        <v>18</v>
      </c>
      <c r="B29" s="56">
        <f t="shared" si="0"/>
        <v>71001.410775651151</v>
      </c>
      <c r="C29" s="42">
        <f t="shared" si="1"/>
        <v>1775</v>
      </c>
      <c r="D29" s="57">
        <f t="shared" si="2"/>
        <v>11182.564072020512</v>
      </c>
      <c r="E29" s="58">
        <f t="shared" si="3"/>
        <v>61593.846703630639</v>
      </c>
    </row>
    <row r="30" spans="1:15" x14ac:dyDescent="0.25">
      <c r="A30" s="59">
        <f t="shared" si="4"/>
        <v>19</v>
      </c>
      <c r="B30" s="60">
        <f t="shared" si="0"/>
        <v>61593.846703630639</v>
      </c>
      <c r="C30" s="3">
        <f t="shared" si="1"/>
        <v>1540</v>
      </c>
      <c r="D30" s="54">
        <f t="shared" si="2"/>
        <v>11182.564072020512</v>
      </c>
      <c r="E30" s="55">
        <f t="shared" si="3"/>
        <v>51951.282631610127</v>
      </c>
    </row>
    <row r="31" spans="1:15" x14ac:dyDescent="0.25">
      <c r="A31" s="41">
        <f t="shared" si="4"/>
        <v>20</v>
      </c>
      <c r="B31" s="56">
        <f t="shared" si="0"/>
        <v>51951.282631610127</v>
      </c>
      <c r="C31" s="42">
        <f t="shared" si="1"/>
        <v>1299</v>
      </c>
      <c r="D31" s="57">
        <f t="shared" si="2"/>
        <v>11182.564072020512</v>
      </c>
      <c r="E31" s="58">
        <f t="shared" si="3"/>
        <v>42067.718559589615</v>
      </c>
    </row>
    <row r="32" spans="1:15" x14ac:dyDescent="0.25">
      <c r="A32" s="59">
        <f t="shared" si="4"/>
        <v>21</v>
      </c>
      <c r="B32" s="60">
        <f t="shared" si="0"/>
        <v>42067.718559589615</v>
      </c>
      <c r="C32" s="3">
        <f t="shared" si="1"/>
        <v>1052</v>
      </c>
      <c r="D32" s="54">
        <f t="shared" si="2"/>
        <v>11182.564072020512</v>
      </c>
      <c r="E32" s="55">
        <f t="shared" si="3"/>
        <v>31937.154487569103</v>
      </c>
    </row>
    <row r="33" spans="1:6" x14ac:dyDescent="0.25">
      <c r="A33" s="41">
        <f t="shared" si="4"/>
        <v>22</v>
      </c>
      <c r="B33" s="56">
        <f t="shared" si="0"/>
        <v>31937.154487569103</v>
      </c>
      <c r="C33" s="42">
        <f t="shared" si="1"/>
        <v>798</v>
      </c>
      <c r="D33" s="57">
        <f t="shared" si="2"/>
        <v>11182.564072020512</v>
      </c>
      <c r="E33" s="58">
        <f t="shared" si="3"/>
        <v>21552.590415548591</v>
      </c>
    </row>
    <row r="34" spans="1:6" x14ac:dyDescent="0.25">
      <c r="A34" s="59">
        <f t="shared" si="4"/>
        <v>23</v>
      </c>
      <c r="B34" s="60">
        <f t="shared" si="0"/>
        <v>21552.590415548591</v>
      </c>
      <c r="C34" s="3">
        <f t="shared" si="1"/>
        <v>539</v>
      </c>
      <c r="D34" s="54">
        <f t="shared" si="2"/>
        <v>11182.564072020512</v>
      </c>
      <c r="E34" s="55">
        <f t="shared" si="3"/>
        <v>10909.026343528079</v>
      </c>
    </row>
    <row r="35" spans="1:6" ht="15.75" thickBot="1" x14ac:dyDescent="0.3">
      <c r="A35" s="44">
        <f>IF(A34&lt;$B$6*$C$7,A34+1,"")</f>
        <v>24</v>
      </c>
      <c r="B35" s="61">
        <f t="shared" si="0"/>
        <v>10909.026343528079</v>
      </c>
      <c r="C35" s="62">
        <f t="shared" si="1"/>
        <v>273</v>
      </c>
      <c r="D35" s="45">
        <f t="shared" si="2"/>
        <v>11182.564072020512</v>
      </c>
      <c r="E35" s="63">
        <f t="shared" si="3"/>
        <v>-0.53772849243250675</v>
      </c>
    </row>
    <row r="36" spans="1:6" x14ac:dyDescent="0.25">
      <c r="A36" s="53" t="str">
        <f t="shared" si="4"/>
        <v/>
      </c>
    </row>
    <row r="37" spans="1:6" x14ac:dyDescent="0.25">
      <c r="A37" s="53" t="str">
        <f t="shared" si="4"/>
        <v/>
      </c>
    </row>
    <row r="38" spans="1:6" x14ac:dyDescent="0.25">
      <c r="A38" s="53" t="str">
        <f t="shared" si="4"/>
        <v/>
      </c>
    </row>
    <row r="39" spans="1:6" x14ac:dyDescent="0.25">
      <c r="A39" s="53" t="str">
        <f t="shared" si="4"/>
        <v/>
      </c>
    </row>
    <row r="40" spans="1:6" x14ac:dyDescent="0.25">
      <c r="A40" s="53" t="str">
        <f t="shared" si="4"/>
        <v/>
      </c>
    </row>
    <row r="41" spans="1:6" x14ac:dyDescent="0.25">
      <c r="A41" s="53" t="str">
        <f t="shared" si="4"/>
        <v/>
      </c>
      <c r="B41" t="s">
        <v>115</v>
      </c>
      <c r="F41" s="152">
        <f>-CUMIPMT(B5/C7,B6*C7,B4,5,10,0)</f>
        <v>23502.952740686153</v>
      </c>
    </row>
    <row r="42" spans="1:6" x14ac:dyDescent="0.25">
      <c r="A42" s="53" t="str">
        <f t="shared" si="4"/>
        <v/>
      </c>
      <c r="B42" t="s">
        <v>116</v>
      </c>
      <c r="F42" s="152">
        <f>-CUMPRINC(B5/C7,B6*C7,B4,5,10,0)</f>
        <v>43592.431691436919</v>
      </c>
    </row>
    <row r="43" spans="1:6" x14ac:dyDescent="0.25">
      <c r="A43" s="53" t="str">
        <f t="shared" si="4"/>
        <v/>
      </c>
    </row>
    <row r="44" spans="1:6" x14ac:dyDescent="0.25">
      <c r="A44" s="53" t="str">
        <f t="shared" si="4"/>
        <v/>
      </c>
    </row>
    <row r="45" spans="1:6" x14ac:dyDescent="0.25">
      <c r="A45" s="53" t="str">
        <f t="shared" si="4"/>
        <v/>
      </c>
    </row>
    <row r="46" spans="1:6" x14ac:dyDescent="0.25">
      <c r="A46" s="53" t="str">
        <f t="shared" si="4"/>
        <v/>
      </c>
    </row>
    <row r="47" spans="1:6" x14ac:dyDescent="0.25">
      <c r="A47" s="53" t="str">
        <f t="shared" si="4"/>
        <v/>
      </c>
    </row>
    <row r="48" spans="1:6" x14ac:dyDescent="0.25">
      <c r="A48" s="53" t="str">
        <f t="shared" si="4"/>
        <v/>
      </c>
    </row>
    <row r="49" spans="1:1" x14ac:dyDescent="0.25">
      <c r="A49" s="53" t="str">
        <f t="shared" si="4"/>
        <v/>
      </c>
    </row>
    <row r="50" spans="1:1" x14ac:dyDescent="0.25">
      <c r="A50" s="53" t="str">
        <f t="shared" si="4"/>
        <v/>
      </c>
    </row>
    <row r="51" spans="1:1" x14ac:dyDescent="0.25">
      <c r="A51" s="53" t="str">
        <f t="shared" si="4"/>
        <v/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activeCell="L17" sqref="L17"/>
    </sheetView>
  </sheetViews>
  <sheetFormatPr defaultRowHeight="15" x14ac:dyDescent="0.25"/>
  <cols>
    <col min="1" max="1" width="10.42578125" customWidth="1"/>
    <col min="2" max="3" width="14.42578125" customWidth="1"/>
    <col min="6" max="6" width="14.42578125" customWidth="1"/>
    <col min="8" max="8" width="12.42578125" customWidth="1"/>
    <col min="9" max="9" width="11.28515625" customWidth="1"/>
  </cols>
  <sheetData>
    <row r="1" spans="1:18" x14ac:dyDescent="0.25">
      <c r="A1" s="1" t="s">
        <v>0</v>
      </c>
      <c r="B1" s="148"/>
    </row>
    <row r="4" spans="1:18" ht="15.75" thickBot="1" x14ac:dyDescent="0.3">
      <c r="D4" s="34">
        <v>1</v>
      </c>
      <c r="E4" s="34">
        <v>1.2</v>
      </c>
      <c r="F4" s="34"/>
      <c r="G4" s="34">
        <v>0.1</v>
      </c>
      <c r="H4" s="34">
        <v>0.25</v>
      </c>
    </row>
    <row r="5" spans="1:18" x14ac:dyDescent="0.25">
      <c r="A5" s="35" t="s">
        <v>1</v>
      </c>
      <c r="B5" s="36" t="s">
        <v>2</v>
      </c>
      <c r="C5" s="36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 t="s">
        <v>8</v>
      </c>
      <c r="I5" s="8" t="s">
        <v>9</v>
      </c>
    </row>
    <row r="6" spans="1:18" x14ac:dyDescent="0.25">
      <c r="A6" s="15" t="s">
        <v>10</v>
      </c>
      <c r="B6" s="16" t="s">
        <v>20</v>
      </c>
      <c r="C6" s="16">
        <v>5000</v>
      </c>
      <c r="D6" s="16">
        <f>IF(C6&gt;20000,MAX(30000,$D$4*C6),$E$4*C6)</f>
        <v>6000</v>
      </c>
      <c r="E6" s="16">
        <f>IF(B6="A",2000,IF(B6="B",1500,900))</f>
        <v>2000</v>
      </c>
      <c r="F6" s="16">
        <f>SUM(C6,D6,E6)</f>
        <v>13000</v>
      </c>
      <c r="G6" s="16">
        <f>SUM(C6,D6)*$G$4</f>
        <v>1100</v>
      </c>
      <c r="H6" s="16">
        <f>($H$4*F6)</f>
        <v>3250</v>
      </c>
      <c r="I6" s="17">
        <f>ROUND(F6-G6+H6,-1)</f>
        <v>15150</v>
      </c>
    </row>
    <row r="7" spans="1:18" x14ac:dyDescent="0.25">
      <c r="A7" s="2" t="s">
        <v>11</v>
      </c>
      <c r="B7" s="3" t="s">
        <v>22</v>
      </c>
      <c r="C7" s="3">
        <v>10000</v>
      </c>
      <c r="D7" s="3">
        <f t="shared" ref="D7:D15" si="0">IF(C7&gt;20000,MAX(30000,$D$4*C7),$E$4*C7)</f>
        <v>12000</v>
      </c>
      <c r="E7" s="3">
        <f t="shared" ref="E7:E15" si="1">IF(B7="A",2000,IF(B7="B",1500,900))</f>
        <v>900</v>
      </c>
      <c r="F7" s="3">
        <f t="shared" ref="F7:F15" si="2">SUM(C7,D7,E7)</f>
        <v>22900</v>
      </c>
      <c r="G7" s="3">
        <f t="shared" ref="G7:G15" si="3">SUM(C7,D7)*$G$4</f>
        <v>2200</v>
      </c>
      <c r="H7" s="3">
        <f t="shared" ref="H7:H15" si="4">($H$4*F7)</f>
        <v>5725</v>
      </c>
      <c r="I7" s="4">
        <f t="shared" ref="I7:I15" si="5">ROUND(F7-G7+H7,-1)</f>
        <v>26430</v>
      </c>
    </row>
    <row r="8" spans="1:18" ht="15.75" thickBot="1" x14ac:dyDescent="0.3">
      <c r="A8" s="15" t="s">
        <v>12</v>
      </c>
      <c r="B8" s="16" t="s">
        <v>21</v>
      </c>
      <c r="C8" s="16">
        <v>15000</v>
      </c>
      <c r="D8" s="16">
        <f t="shared" si="0"/>
        <v>18000</v>
      </c>
      <c r="E8" s="16">
        <f t="shared" si="1"/>
        <v>1500</v>
      </c>
      <c r="F8" s="16">
        <f t="shared" si="2"/>
        <v>34500</v>
      </c>
      <c r="G8" s="16">
        <f t="shared" si="3"/>
        <v>3300</v>
      </c>
      <c r="H8" s="16">
        <f t="shared" si="4"/>
        <v>8625</v>
      </c>
      <c r="I8" s="17">
        <f t="shared" si="5"/>
        <v>39830</v>
      </c>
    </row>
    <row r="9" spans="1:18" x14ac:dyDescent="0.25">
      <c r="A9" s="2" t="s">
        <v>13</v>
      </c>
      <c r="B9" s="3" t="s">
        <v>20</v>
      </c>
      <c r="C9" s="3">
        <v>20000</v>
      </c>
      <c r="D9" s="3">
        <f t="shared" si="0"/>
        <v>24000</v>
      </c>
      <c r="E9" s="3">
        <f t="shared" si="1"/>
        <v>2000</v>
      </c>
      <c r="F9" s="3">
        <f t="shared" si="2"/>
        <v>46000</v>
      </c>
      <c r="G9" s="3">
        <f t="shared" si="3"/>
        <v>4400</v>
      </c>
      <c r="H9" s="3">
        <f t="shared" si="4"/>
        <v>11500</v>
      </c>
      <c r="I9" s="4">
        <f t="shared" si="5"/>
        <v>53100</v>
      </c>
      <c r="K9" s="158"/>
      <c r="L9" s="159" t="s">
        <v>123</v>
      </c>
      <c r="M9" s="159"/>
      <c r="N9" s="159"/>
      <c r="O9" s="159"/>
      <c r="P9" s="159"/>
      <c r="Q9" s="159"/>
      <c r="R9" s="160"/>
    </row>
    <row r="10" spans="1:18" x14ac:dyDescent="0.25">
      <c r="A10" s="15" t="s">
        <v>14</v>
      </c>
      <c r="B10" s="16" t="s">
        <v>23</v>
      </c>
      <c r="C10" s="16">
        <v>25000</v>
      </c>
      <c r="D10" s="16">
        <f t="shared" si="0"/>
        <v>30000</v>
      </c>
      <c r="E10" s="16">
        <f t="shared" si="1"/>
        <v>900</v>
      </c>
      <c r="F10" s="16">
        <f t="shared" si="2"/>
        <v>55900</v>
      </c>
      <c r="G10" s="16">
        <f t="shared" si="3"/>
        <v>5500</v>
      </c>
      <c r="H10" s="16">
        <f t="shared" si="4"/>
        <v>13975</v>
      </c>
      <c r="I10" s="17">
        <f t="shared" si="5"/>
        <v>64380</v>
      </c>
      <c r="K10" s="161"/>
      <c r="L10" s="162" t="s">
        <v>124</v>
      </c>
      <c r="M10" s="162"/>
      <c r="N10" s="162"/>
      <c r="O10" s="162"/>
      <c r="P10" s="162"/>
      <c r="Q10" s="162"/>
      <c r="R10" s="163"/>
    </row>
    <row r="11" spans="1:18" x14ac:dyDescent="0.25">
      <c r="A11" s="2" t="s">
        <v>15</v>
      </c>
      <c r="B11" s="3" t="s">
        <v>21</v>
      </c>
      <c r="C11" s="3">
        <v>30000</v>
      </c>
      <c r="D11" s="3">
        <f t="shared" si="0"/>
        <v>30000</v>
      </c>
      <c r="E11" s="3">
        <f t="shared" si="1"/>
        <v>1500</v>
      </c>
      <c r="F11" s="3">
        <f t="shared" si="2"/>
        <v>61500</v>
      </c>
      <c r="G11" s="3">
        <f t="shared" si="3"/>
        <v>6000</v>
      </c>
      <c r="H11" s="3">
        <f t="shared" si="4"/>
        <v>15375</v>
      </c>
      <c r="I11" s="4">
        <f t="shared" si="5"/>
        <v>70880</v>
      </c>
      <c r="K11" s="161"/>
      <c r="L11" s="162" t="s">
        <v>125</v>
      </c>
      <c r="M11" s="162"/>
      <c r="N11" s="162"/>
      <c r="O11" s="162"/>
      <c r="P11" s="162"/>
      <c r="Q11" s="162"/>
      <c r="R11" s="163"/>
    </row>
    <row r="12" spans="1:18" x14ac:dyDescent="0.25">
      <c r="A12" s="15" t="s">
        <v>16</v>
      </c>
      <c r="B12" s="16" t="s">
        <v>21</v>
      </c>
      <c r="C12" s="16">
        <v>35000</v>
      </c>
      <c r="D12" s="16">
        <f t="shared" si="0"/>
        <v>35000</v>
      </c>
      <c r="E12" s="16">
        <f t="shared" si="1"/>
        <v>1500</v>
      </c>
      <c r="F12" s="16">
        <f t="shared" si="2"/>
        <v>71500</v>
      </c>
      <c r="G12" s="16">
        <f t="shared" si="3"/>
        <v>7000</v>
      </c>
      <c r="H12" s="16">
        <f t="shared" si="4"/>
        <v>17875</v>
      </c>
      <c r="I12" s="17">
        <f t="shared" si="5"/>
        <v>82380</v>
      </c>
      <c r="K12" s="161"/>
      <c r="L12" s="162" t="s">
        <v>126</v>
      </c>
      <c r="M12" s="162"/>
      <c r="N12" s="162"/>
      <c r="O12" s="162"/>
      <c r="P12" s="162"/>
      <c r="Q12" s="162"/>
      <c r="R12" s="163"/>
    </row>
    <row r="13" spans="1:18" x14ac:dyDescent="0.25">
      <c r="A13" s="2" t="s">
        <v>17</v>
      </c>
      <c r="B13" s="3" t="s">
        <v>20</v>
      </c>
      <c r="C13" s="3">
        <v>40000</v>
      </c>
      <c r="D13" s="3">
        <f t="shared" si="0"/>
        <v>40000</v>
      </c>
      <c r="E13" s="3">
        <f t="shared" si="1"/>
        <v>2000</v>
      </c>
      <c r="F13" s="3">
        <f t="shared" si="2"/>
        <v>82000</v>
      </c>
      <c r="G13" s="3">
        <f t="shared" si="3"/>
        <v>8000</v>
      </c>
      <c r="H13" s="3">
        <f t="shared" si="4"/>
        <v>20500</v>
      </c>
      <c r="I13" s="4">
        <f t="shared" si="5"/>
        <v>94500</v>
      </c>
      <c r="K13" s="161"/>
      <c r="L13" s="162" t="s">
        <v>127</v>
      </c>
      <c r="M13" s="162"/>
      <c r="N13" s="162"/>
      <c r="O13" s="162"/>
      <c r="P13" s="162"/>
      <c r="Q13" s="162"/>
      <c r="R13" s="163"/>
    </row>
    <row r="14" spans="1:18" x14ac:dyDescent="0.25">
      <c r="A14" s="15" t="s">
        <v>18</v>
      </c>
      <c r="B14" s="16" t="s">
        <v>23</v>
      </c>
      <c r="C14" s="16">
        <v>45000</v>
      </c>
      <c r="D14" s="16">
        <f t="shared" si="0"/>
        <v>45000</v>
      </c>
      <c r="E14" s="16">
        <f t="shared" si="1"/>
        <v>900</v>
      </c>
      <c r="F14" s="16">
        <f t="shared" si="2"/>
        <v>90900</v>
      </c>
      <c r="G14" s="16">
        <f t="shared" si="3"/>
        <v>9000</v>
      </c>
      <c r="H14" s="16">
        <f t="shared" si="4"/>
        <v>22725</v>
      </c>
      <c r="I14" s="17">
        <f t="shared" si="5"/>
        <v>104630</v>
      </c>
      <c r="K14" s="161"/>
      <c r="L14" s="162" t="s">
        <v>128</v>
      </c>
      <c r="M14" s="162"/>
      <c r="N14" s="162"/>
      <c r="O14" s="162"/>
      <c r="P14" s="162"/>
      <c r="Q14" s="162"/>
      <c r="R14" s="163"/>
    </row>
    <row r="15" spans="1:18" ht="15.75" thickBot="1" x14ac:dyDescent="0.3">
      <c r="A15" s="5" t="s">
        <v>19</v>
      </c>
      <c r="B15" s="6" t="s">
        <v>21</v>
      </c>
      <c r="C15" s="6">
        <v>50000</v>
      </c>
      <c r="D15" s="6">
        <f t="shared" si="0"/>
        <v>50000</v>
      </c>
      <c r="E15" s="6">
        <f t="shared" si="1"/>
        <v>1500</v>
      </c>
      <c r="F15" s="6">
        <f t="shared" si="2"/>
        <v>101500</v>
      </c>
      <c r="G15" s="6">
        <f t="shared" si="3"/>
        <v>10000</v>
      </c>
      <c r="H15" s="6">
        <f t="shared" si="4"/>
        <v>25375</v>
      </c>
      <c r="I15" s="7">
        <f t="shared" si="5"/>
        <v>116880</v>
      </c>
      <c r="K15" s="164"/>
      <c r="L15" s="165"/>
      <c r="M15" s="165"/>
      <c r="N15" s="165"/>
      <c r="O15" s="165"/>
      <c r="P15" s="165"/>
      <c r="Q15" s="165"/>
      <c r="R15" s="16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B14" sqref="B14:C14"/>
    </sheetView>
  </sheetViews>
  <sheetFormatPr defaultRowHeight="15" x14ac:dyDescent="0.25"/>
  <cols>
    <col min="1" max="1" width="30.85546875" customWidth="1"/>
    <col min="2" max="2" width="18.140625" customWidth="1"/>
    <col min="3" max="3" width="13.7109375" customWidth="1"/>
    <col min="4" max="4" width="17" customWidth="1"/>
    <col min="10" max="10" width="10.7109375" customWidth="1"/>
    <col min="11" max="11" width="18.42578125" customWidth="1"/>
  </cols>
  <sheetData>
    <row r="2" spans="1:11" x14ac:dyDescent="0.25">
      <c r="A2" s="1" t="s">
        <v>50</v>
      </c>
    </row>
    <row r="3" spans="1:11" ht="15.75" thickBot="1" x14ac:dyDescent="0.3">
      <c r="A3" s="64"/>
    </row>
    <row r="4" spans="1:11" x14ac:dyDescent="0.25">
      <c r="A4" s="67" t="s">
        <v>51</v>
      </c>
      <c r="B4" s="68">
        <v>200000</v>
      </c>
      <c r="J4" s="102" t="s">
        <v>55</v>
      </c>
      <c r="K4" s="103" t="s">
        <v>58</v>
      </c>
    </row>
    <row r="5" spans="1:11" x14ac:dyDescent="0.25">
      <c r="A5" s="2" t="s">
        <v>52</v>
      </c>
      <c r="B5" s="66">
        <v>5000</v>
      </c>
      <c r="J5" s="2" t="s">
        <v>56</v>
      </c>
      <c r="K5" s="4">
        <v>1</v>
      </c>
    </row>
    <row r="6" spans="1:11" x14ac:dyDescent="0.25">
      <c r="A6" s="69" t="s">
        <v>53</v>
      </c>
      <c r="B6" s="70">
        <v>5</v>
      </c>
      <c r="G6" s="3"/>
      <c r="J6" s="104" t="s">
        <v>57</v>
      </c>
      <c r="K6" s="105">
        <v>2</v>
      </c>
    </row>
    <row r="7" spans="1:11" ht="15.75" thickBot="1" x14ac:dyDescent="0.3">
      <c r="A7" s="2" t="s">
        <v>54</v>
      </c>
      <c r="B7" s="4">
        <v>12</v>
      </c>
      <c r="J7" s="2"/>
      <c r="K7" s="4">
        <v>3</v>
      </c>
    </row>
    <row r="8" spans="1:11" x14ac:dyDescent="0.25">
      <c r="A8" s="2"/>
      <c r="B8" s="4"/>
      <c r="D8" s="168"/>
      <c r="E8" s="169"/>
      <c r="F8" s="169"/>
      <c r="G8" s="169"/>
      <c r="H8" s="170"/>
      <c r="J8" s="104"/>
      <c r="K8" s="105">
        <v>4</v>
      </c>
    </row>
    <row r="9" spans="1:11" ht="15.75" thickBot="1" x14ac:dyDescent="0.3">
      <c r="A9" s="71" t="s">
        <v>59</v>
      </c>
      <c r="B9" s="72" t="s">
        <v>56</v>
      </c>
      <c r="D9" s="171" t="s">
        <v>134</v>
      </c>
      <c r="E9" s="172"/>
      <c r="F9" s="172"/>
      <c r="G9" s="172"/>
      <c r="H9" s="173"/>
      <c r="J9" s="2"/>
      <c r="K9" s="4">
        <v>5</v>
      </c>
    </row>
    <row r="10" spans="1:11" x14ac:dyDescent="0.25">
      <c r="D10" s="171" t="s">
        <v>135</v>
      </c>
      <c r="E10" s="172"/>
      <c r="F10" s="172"/>
      <c r="G10" s="172"/>
      <c r="H10" s="173"/>
      <c r="J10" s="104"/>
      <c r="K10" s="105">
        <v>6</v>
      </c>
    </row>
    <row r="11" spans="1:11" ht="15.75" thickBot="1" x14ac:dyDescent="0.3">
      <c r="D11" s="174" t="s">
        <v>136</v>
      </c>
      <c r="E11" s="175"/>
      <c r="F11" s="175" t="s">
        <v>137</v>
      </c>
      <c r="G11" s="175"/>
      <c r="H11" s="176"/>
      <c r="J11" s="2"/>
      <c r="K11" s="4">
        <v>7</v>
      </c>
    </row>
    <row r="12" spans="1:11" x14ac:dyDescent="0.25">
      <c r="J12" s="104"/>
      <c r="K12" s="105">
        <v>8</v>
      </c>
    </row>
    <row r="13" spans="1:11" x14ac:dyDescent="0.25">
      <c r="J13" s="2"/>
      <c r="K13" s="4">
        <v>9</v>
      </c>
    </row>
    <row r="14" spans="1:11" ht="19.5" thickBot="1" x14ac:dyDescent="0.35">
      <c r="B14" s="183" t="s">
        <v>60</v>
      </c>
      <c r="C14" s="183"/>
      <c r="D14" s="65"/>
      <c r="J14" s="104"/>
      <c r="K14" s="105">
        <v>10</v>
      </c>
    </row>
    <row r="15" spans="1:11" x14ac:dyDescent="0.25">
      <c r="A15" s="35" t="s">
        <v>61</v>
      </c>
      <c r="B15" s="36" t="s">
        <v>62</v>
      </c>
      <c r="C15" s="36" t="s">
        <v>63</v>
      </c>
      <c r="D15" s="8" t="s">
        <v>64</v>
      </c>
      <c r="J15" s="2"/>
      <c r="K15" s="4">
        <v>11</v>
      </c>
    </row>
    <row r="16" spans="1:11" ht="15.75" thickBot="1" x14ac:dyDescent="0.3">
      <c r="A16" s="2">
        <v>1</v>
      </c>
      <c r="B16" s="95">
        <f>B4</f>
        <v>200000</v>
      </c>
      <c r="C16" s="3">
        <f>IF(B9="DB",DB(B4,B5,B6,A16,B7),SLN(B4,B5,B6)*B7/12)</f>
        <v>39000</v>
      </c>
      <c r="D16" s="4">
        <f>IF(A16="","",B16-C16)</f>
        <v>161000</v>
      </c>
      <c r="J16" s="106"/>
      <c r="K16" s="107">
        <v>12</v>
      </c>
    </row>
    <row r="17" spans="1:14" x14ac:dyDescent="0.25">
      <c r="A17" s="96">
        <f>IF(A16&lt;$B$6+1,A16+1,"")</f>
        <v>2</v>
      </c>
      <c r="B17" s="97">
        <f>IF(A17="","",D16)</f>
        <v>161000</v>
      </c>
      <c r="C17" s="97">
        <f>IF(A17="","",IF($B$9="DB",IF(OR($B$7&lt;12,A17&lt;=$B$6),DB($B$4,$B$5,$B$6,A17,$B$7),0),IF(A17&lt;=$B$6,SLN($B$4,$B$5,$B$6),SLN($B$4,$B$5,$B$6)*(12-$B$7)/12)))</f>
        <v>39000</v>
      </c>
      <c r="D17" s="98">
        <f t="shared" ref="D17:D21" si="0">IF(A17="","",B17-C17)</f>
        <v>122000</v>
      </c>
    </row>
    <row r="18" spans="1:14" x14ac:dyDescent="0.25">
      <c r="A18" s="2">
        <f t="shared" ref="A18:A20" si="1">IF(A17&lt;$B$6+1,A17+1,"")</f>
        <v>3</v>
      </c>
      <c r="B18" s="3">
        <f t="shared" ref="B18:B21" si="2">IF(A18="","",D17)</f>
        <v>122000</v>
      </c>
      <c r="C18" s="3">
        <f t="shared" ref="C18:C21" si="3">IF(A18="","",IF($B$9="DB",IF(OR($B$7&lt;12,A18&lt;=$B$6),DB($B$4,$B$5,$B$6,A18,$B$7),0),IF(A18&lt;=$B$6,SLN($B$4,$B$5,$B$6),SLN($B$4,$B$5,$B$6)*(12-$B$7)/12)))</f>
        <v>39000</v>
      </c>
      <c r="D18" s="4">
        <f t="shared" si="0"/>
        <v>83000</v>
      </c>
    </row>
    <row r="19" spans="1:14" ht="15.75" thickBot="1" x14ac:dyDescent="0.3">
      <c r="A19" s="96">
        <f t="shared" si="1"/>
        <v>4</v>
      </c>
      <c r="B19" s="97">
        <f t="shared" si="2"/>
        <v>83000</v>
      </c>
      <c r="C19" s="97">
        <f t="shared" si="3"/>
        <v>39000</v>
      </c>
      <c r="D19" s="98">
        <f t="shared" si="0"/>
        <v>44000</v>
      </c>
    </row>
    <row r="20" spans="1:14" x14ac:dyDescent="0.25">
      <c r="A20" s="2">
        <f t="shared" si="1"/>
        <v>5</v>
      </c>
      <c r="B20" s="3">
        <f t="shared" si="2"/>
        <v>44000</v>
      </c>
      <c r="C20" s="3">
        <f t="shared" si="3"/>
        <v>39000</v>
      </c>
      <c r="D20" s="4">
        <f t="shared" si="0"/>
        <v>5000</v>
      </c>
      <c r="G20" s="168"/>
      <c r="H20" s="169" t="s">
        <v>129</v>
      </c>
      <c r="I20" s="169"/>
      <c r="J20" s="169"/>
      <c r="K20" s="169"/>
      <c r="L20" s="169"/>
      <c r="M20" s="169"/>
      <c r="N20" s="170"/>
    </row>
    <row r="21" spans="1:14" ht="15.75" thickBot="1" x14ac:dyDescent="0.3">
      <c r="A21" s="99">
        <f>IF(A20&lt;$B$6+1,A20+1,"")</f>
        <v>6</v>
      </c>
      <c r="B21" s="100">
        <f t="shared" si="2"/>
        <v>5000</v>
      </c>
      <c r="C21" s="100">
        <f t="shared" si="3"/>
        <v>0</v>
      </c>
      <c r="D21" s="101">
        <f t="shared" si="0"/>
        <v>5000</v>
      </c>
      <c r="G21" s="171"/>
      <c r="H21" s="172" t="s">
        <v>130</v>
      </c>
      <c r="I21" s="172"/>
      <c r="J21" s="172"/>
      <c r="K21" s="172"/>
      <c r="L21" s="172"/>
      <c r="M21" s="172"/>
      <c r="N21" s="173"/>
    </row>
    <row r="22" spans="1:14" x14ac:dyDescent="0.25">
      <c r="G22" s="171"/>
      <c r="H22" s="172" t="s">
        <v>131</v>
      </c>
      <c r="I22" s="172"/>
      <c r="J22" s="172"/>
      <c r="K22" s="172"/>
      <c r="L22" s="172"/>
      <c r="M22" s="172"/>
      <c r="N22" s="173"/>
    </row>
    <row r="23" spans="1:14" x14ac:dyDescent="0.25">
      <c r="G23" s="171"/>
      <c r="H23" s="172" t="s">
        <v>132</v>
      </c>
      <c r="I23" s="172"/>
      <c r="J23" s="172"/>
      <c r="K23" s="172"/>
      <c r="L23" s="172"/>
      <c r="M23" s="172"/>
      <c r="N23" s="173"/>
    </row>
    <row r="24" spans="1:14" x14ac:dyDescent="0.25">
      <c r="G24" s="171"/>
      <c r="H24" s="172" t="s">
        <v>133</v>
      </c>
      <c r="I24" s="172"/>
      <c r="J24" s="172"/>
      <c r="K24" s="172"/>
      <c r="L24" s="172"/>
      <c r="M24" s="172"/>
      <c r="N24" s="173"/>
    </row>
    <row r="25" spans="1:14" ht="15.75" thickBot="1" x14ac:dyDescent="0.3">
      <c r="G25" s="174"/>
      <c r="H25" s="175"/>
      <c r="I25" s="175"/>
      <c r="J25" s="175"/>
      <c r="K25" s="175"/>
      <c r="L25" s="175"/>
      <c r="M25" s="175"/>
      <c r="N25" s="176"/>
    </row>
  </sheetData>
  <dataConsolidate/>
  <dataValidations count="2">
    <dataValidation type="list" allowBlank="1" showInputMessage="1" showErrorMessage="1" sqref="B7">
      <formula1>$K$5:$K$16</formula1>
    </dataValidation>
    <dataValidation type="list" allowBlank="1" showInputMessage="1" showErrorMessage="1" sqref="B9">
      <formula1>$J$5:$J$6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K7" sqref="K7"/>
    </sheetView>
  </sheetViews>
  <sheetFormatPr defaultRowHeight="15" x14ac:dyDescent="0.25"/>
  <cols>
    <col min="1" max="1" width="41.5703125" customWidth="1"/>
    <col min="2" max="2" width="20.42578125" bestFit="1" customWidth="1"/>
    <col min="5" max="5" width="26.85546875" customWidth="1"/>
    <col min="6" max="6" width="15.28515625" customWidth="1"/>
  </cols>
  <sheetData>
    <row r="1" spans="1:12" x14ac:dyDescent="0.25">
      <c r="A1" s="184" t="s">
        <v>145</v>
      </c>
    </row>
    <row r="2" spans="1:12" ht="15.75" thickBot="1" x14ac:dyDescent="0.3"/>
    <row r="3" spans="1:12" x14ac:dyDescent="0.25">
      <c r="A3" s="73" t="s">
        <v>65</v>
      </c>
      <c r="B3" s="74" t="s">
        <v>20</v>
      </c>
      <c r="C3" s="75" t="s">
        <v>21</v>
      </c>
    </row>
    <row r="4" spans="1:12" x14ac:dyDescent="0.25">
      <c r="A4" s="2" t="s">
        <v>66</v>
      </c>
      <c r="B4" s="37">
        <v>0.14000000000000001</v>
      </c>
      <c r="C4" s="76">
        <v>0.14000000000000001</v>
      </c>
    </row>
    <row r="5" spans="1:12" x14ac:dyDescent="0.25">
      <c r="A5" s="77" t="s">
        <v>67</v>
      </c>
      <c r="B5" s="78">
        <v>-150000</v>
      </c>
      <c r="C5" s="79">
        <v>-300000</v>
      </c>
    </row>
    <row r="6" spans="1:12" ht="15.75" thickBot="1" x14ac:dyDescent="0.3">
      <c r="A6" s="2" t="s">
        <v>68</v>
      </c>
      <c r="B6" s="3">
        <v>40000</v>
      </c>
      <c r="C6" s="4">
        <v>80000</v>
      </c>
    </row>
    <row r="7" spans="1:12" x14ac:dyDescent="0.25">
      <c r="A7" s="77">
        <v>2</v>
      </c>
      <c r="B7" s="78">
        <v>56000</v>
      </c>
      <c r="C7" s="79">
        <v>112000</v>
      </c>
      <c r="E7" s="177" t="s">
        <v>138</v>
      </c>
      <c r="F7" s="178"/>
    </row>
    <row r="8" spans="1:12" x14ac:dyDescent="0.25">
      <c r="A8" s="59">
        <v>3</v>
      </c>
      <c r="B8" s="80">
        <v>60000</v>
      </c>
      <c r="C8" s="81">
        <v>120000</v>
      </c>
      <c r="E8" s="179" t="s">
        <v>139</v>
      </c>
      <c r="F8" s="180"/>
    </row>
    <row r="9" spans="1:12" ht="15.75" thickBot="1" x14ac:dyDescent="0.3">
      <c r="A9" s="77">
        <v>4</v>
      </c>
      <c r="B9" s="78">
        <v>45000</v>
      </c>
      <c r="C9" s="79">
        <v>90000</v>
      </c>
      <c r="E9" s="181"/>
      <c r="F9" s="182"/>
    </row>
    <row r="10" spans="1:12" ht="15.75" thickBot="1" x14ac:dyDescent="0.3">
      <c r="A10" s="82">
        <v>5</v>
      </c>
      <c r="B10" s="83">
        <v>65000</v>
      </c>
      <c r="C10" s="84">
        <v>130000</v>
      </c>
    </row>
    <row r="12" spans="1:12" ht="15.75" thickBot="1" x14ac:dyDescent="0.3"/>
    <row r="13" spans="1:12" ht="15.75" thickBot="1" x14ac:dyDescent="0.3">
      <c r="A13" s="110" t="s">
        <v>69</v>
      </c>
      <c r="B13" s="48"/>
      <c r="E13" s="114" t="s">
        <v>70</v>
      </c>
      <c r="F13" s="113"/>
    </row>
    <row r="14" spans="1:12" x14ac:dyDescent="0.25">
      <c r="A14" s="2"/>
      <c r="B14" s="4"/>
      <c r="E14" s="2"/>
      <c r="F14" s="4"/>
      <c r="H14" s="33" t="s">
        <v>146</v>
      </c>
      <c r="I14" s="167"/>
      <c r="J14" s="167"/>
      <c r="K14" s="167"/>
      <c r="L14" s="11"/>
    </row>
    <row r="15" spans="1:12" x14ac:dyDescent="0.25">
      <c r="A15" s="49"/>
      <c r="B15" s="50"/>
      <c r="E15" s="69" t="s">
        <v>20</v>
      </c>
      <c r="F15" s="70" t="s">
        <v>21</v>
      </c>
      <c r="H15" s="12" t="s">
        <v>147</v>
      </c>
      <c r="I15" s="13"/>
      <c r="J15" s="13"/>
      <c r="K15" s="13"/>
      <c r="L15" s="14"/>
    </row>
    <row r="16" spans="1:12" ht="15.75" thickBot="1" x14ac:dyDescent="0.3">
      <c r="A16" s="2" t="s">
        <v>20</v>
      </c>
      <c r="B16" s="4" t="s">
        <v>21</v>
      </c>
      <c r="E16" s="108">
        <f>IRR(B5:B10)</f>
        <v>0.2135578766657682</v>
      </c>
      <c r="F16" s="109">
        <f>IRR(C5:C10)</f>
        <v>0.2135578766657682</v>
      </c>
      <c r="H16" s="24" t="s">
        <v>148</v>
      </c>
      <c r="I16" s="25"/>
      <c r="J16" s="25"/>
      <c r="K16" s="25"/>
      <c r="L16" s="26"/>
    </row>
    <row r="17" spans="1:12" ht="15.75" thickBot="1" x14ac:dyDescent="0.3">
      <c r="A17" s="111">
        <f>NPV(B4,B6:B10)+B5</f>
        <v>29078.767529749835</v>
      </c>
      <c r="B17" s="112">
        <f>NPV(C4,C6:C10)+C5</f>
        <v>58157.535059499671</v>
      </c>
    </row>
    <row r="18" spans="1:12" ht="15.75" thickBot="1" x14ac:dyDescent="0.3"/>
    <row r="19" spans="1:12" x14ac:dyDescent="0.25">
      <c r="E19" s="185" t="s">
        <v>140</v>
      </c>
      <c r="F19" s="186"/>
    </row>
    <row r="20" spans="1:12" x14ac:dyDescent="0.25">
      <c r="E20" s="187" t="s">
        <v>141</v>
      </c>
      <c r="F20" s="188"/>
    </row>
    <row r="21" spans="1:12" ht="15.75" thickBot="1" x14ac:dyDescent="0.3">
      <c r="E21" s="189" t="s">
        <v>142</v>
      </c>
      <c r="F21" s="190"/>
    </row>
    <row r="23" spans="1:12" x14ac:dyDescent="0.25">
      <c r="A23" t="s">
        <v>71</v>
      </c>
    </row>
    <row r="24" spans="1:12" ht="15.75" thickBot="1" x14ac:dyDescent="0.3"/>
    <row r="25" spans="1:12" x14ac:dyDescent="0.25">
      <c r="A25" s="86" t="s">
        <v>69</v>
      </c>
      <c r="B25" s="87" t="s">
        <v>70</v>
      </c>
    </row>
    <row r="26" spans="1:12" ht="15.75" thickBot="1" x14ac:dyDescent="0.3">
      <c r="A26" s="88" t="str">
        <f>IF(A17&gt;B17,"PROJECT A","PROJECT B")</f>
        <v>PROJECT B</v>
      </c>
      <c r="B26" s="89" t="str">
        <f>IF(E16&gt;F16,"PROJECT A","PROJECT B")</f>
        <v>PROJECT B</v>
      </c>
    </row>
    <row r="28" spans="1:12" x14ac:dyDescent="0.25">
      <c r="A28" s="85" t="s">
        <v>72</v>
      </c>
      <c r="B28" s="85"/>
    </row>
    <row r="29" spans="1:12" ht="15.75" thickBot="1" x14ac:dyDescent="0.3"/>
    <row r="30" spans="1:12" x14ac:dyDescent="0.25">
      <c r="A30" s="33" t="s">
        <v>73</v>
      </c>
      <c r="B30" s="90">
        <v>0.11</v>
      </c>
      <c r="C30" s="90">
        <v>0.12</v>
      </c>
      <c r="D30" s="90">
        <v>0.13</v>
      </c>
      <c r="E30" s="90">
        <v>0.14000000000000001</v>
      </c>
      <c r="F30" s="91">
        <v>0.15</v>
      </c>
      <c r="H30" s="158" t="s">
        <v>143</v>
      </c>
      <c r="I30" s="159"/>
      <c r="J30" s="159"/>
      <c r="K30" s="159"/>
      <c r="L30" s="160"/>
    </row>
    <row r="31" spans="1:12" ht="15.75" thickBot="1" x14ac:dyDescent="0.3">
      <c r="A31" s="71" t="s">
        <v>69</v>
      </c>
      <c r="B31" s="92">
        <f>NPV(B30,$C$6:$C$10)+$C$5</f>
        <v>87151.210672182846</v>
      </c>
      <c r="C31" s="93">
        <f t="shared" ref="C31:F31" si="0">NPV(C30,$C$6:$C$10)+$C$5</f>
        <v>77090.033751747687</v>
      </c>
      <c r="D31" s="93">
        <f t="shared" si="0"/>
        <v>67432.385359252046</v>
      </c>
      <c r="E31" s="93">
        <f t="shared" si="0"/>
        <v>58157.535059499671</v>
      </c>
      <c r="F31" s="72">
        <f t="shared" si="0"/>
        <v>49246.023712533759</v>
      </c>
      <c r="H31" s="164" t="s">
        <v>144</v>
      </c>
      <c r="I31" s="165"/>
      <c r="J31" s="165"/>
      <c r="K31" s="165"/>
      <c r="L31" s="166"/>
    </row>
    <row r="36" spans="5:5" ht="18.75" x14ac:dyDescent="0.3">
      <c r="E36" s="183" t="s">
        <v>122</v>
      </c>
    </row>
  </sheetData>
  <pageMargins left="0.7" right="0.7" top="0.75" bottom="0.75" header="0.3" footer="0.3"/>
  <pageSetup orientation="portrait" r:id="rId1"/>
  <ignoredErrors>
    <ignoredError sqref="E16:F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FRE</vt:lpstr>
      <vt:lpstr>REGRESSION</vt:lpstr>
      <vt:lpstr>LOAN AND LEASE</vt:lpstr>
      <vt:lpstr>PAYROLL</vt:lpstr>
      <vt:lpstr>dep</vt:lpstr>
      <vt:lpstr>NPV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sidra fatima</dc:creator>
  <cp:lastModifiedBy>sidra fatima</cp:lastModifiedBy>
  <dcterms:created xsi:type="dcterms:W3CDTF">2020-11-06T14:17:18Z</dcterms:created>
  <dcterms:modified xsi:type="dcterms:W3CDTF">2020-11-10T11:38:23Z</dcterms:modified>
</cp:coreProperties>
</file>